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030" tabRatio="595" activeTab="0"/>
  </bookViews>
  <sheets>
    <sheet name="Montage financier" sheetId="1" r:id="rId1"/>
    <sheet name="Résultats prévisionnels" sheetId="2" r:id="rId2"/>
    <sheet name="Détail des prévisions" sheetId="3" r:id="rId3"/>
    <sheet name="Plan de financement" sheetId="4" r:id="rId4"/>
  </sheets>
  <definedNames/>
  <calcPr fullCalcOnLoad="1"/>
</workbook>
</file>

<file path=xl/sharedStrings.xml><?xml version="1.0" encoding="utf-8"?>
<sst xmlns="http://schemas.openxmlformats.org/spreadsheetml/2006/main" count="153" uniqueCount="133">
  <si>
    <t>MONTAGE FINANCIER DU PROJET</t>
  </si>
  <si>
    <t>BESOINS</t>
  </si>
  <si>
    <t>RESSOURCES</t>
  </si>
  <si>
    <t>Investissements</t>
  </si>
  <si>
    <t>Durée</t>
  </si>
  <si>
    <t>Amt.</t>
  </si>
  <si>
    <t>Murs</t>
  </si>
  <si>
    <t>Droits et honoraires</t>
  </si>
  <si>
    <t>Aménagements</t>
  </si>
  <si>
    <t>Matériel</t>
  </si>
  <si>
    <t>...</t>
  </si>
  <si>
    <t>Total</t>
  </si>
  <si>
    <t>Fonds de roulement</t>
  </si>
  <si>
    <t>Fonds propres</t>
  </si>
  <si>
    <t>Capital</t>
  </si>
  <si>
    <t>Comptes-courants</t>
  </si>
  <si>
    <t>Subventions</t>
  </si>
  <si>
    <t>Emprunts et crédit-bail</t>
  </si>
  <si>
    <t>Emprunts bancaires</t>
  </si>
  <si>
    <t>Total ressources</t>
  </si>
  <si>
    <t>Total emplois</t>
  </si>
  <si>
    <t>COMPTES DE RESULTATS PREVISIONNELS</t>
  </si>
  <si>
    <t>Année 1</t>
  </si>
  <si>
    <t>Année 2</t>
  </si>
  <si>
    <t>Année 3</t>
  </si>
  <si>
    <t>Chiffre d'affaires</t>
  </si>
  <si>
    <t>Denrées et boissons consommées</t>
  </si>
  <si>
    <t>Marge brute</t>
  </si>
  <si>
    <t>Charges de personnel</t>
  </si>
  <si>
    <t>Frais généraux hors loyers</t>
  </si>
  <si>
    <t>Résultat Brut d'Exploitation</t>
  </si>
  <si>
    <t>Loyers</t>
  </si>
  <si>
    <t>Redevances de crédit-bail</t>
  </si>
  <si>
    <t>Intérêts des emprunts</t>
  </si>
  <si>
    <t>Dotations aux amortissements</t>
  </si>
  <si>
    <t>Résultat avant impôts</t>
  </si>
  <si>
    <t>Résultat net</t>
  </si>
  <si>
    <t>Détail des prévisions</t>
  </si>
  <si>
    <t>Frais généraux</t>
  </si>
  <si>
    <t>Impôts et taxes</t>
  </si>
  <si>
    <t>Energie</t>
  </si>
  <si>
    <t>Blanchissage</t>
  </si>
  <si>
    <t>Produits d'entretien</t>
  </si>
  <si>
    <t>Maintenance et entretien</t>
  </si>
  <si>
    <t>Petit matériel</t>
  </si>
  <si>
    <t>Primes d'assurances</t>
  </si>
  <si>
    <t>Décors floraux</t>
  </si>
  <si>
    <t>Tenues du personnel</t>
  </si>
  <si>
    <t>Frais postaux et de télécom.</t>
  </si>
  <si>
    <t>Fournitures de bureau</t>
  </si>
  <si>
    <t>Commissions sur moyens de pmt.</t>
  </si>
  <si>
    <t>Redevances</t>
  </si>
  <si>
    <t>Missions, réceptions</t>
  </si>
  <si>
    <t>Imprimerie</t>
  </si>
  <si>
    <t>Publicité</t>
  </si>
  <si>
    <t>Divers</t>
  </si>
  <si>
    <t>PLAN DE FINANCEMENT</t>
  </si>
  <si>
    <t>Besoins de financement</t>
  </si>
  <si>
    <t>N+1</t>
  </si>
  <si>
    <t>N+2</t>
  </si>
  <si>
    <t>N+3</t>
  </si>
  <si>
    <t>Remboursements d'emprunts</t>
  </si>
  <si>
    <t>Réduction des fonds propres</t>
  </si>
  <si>
    <t>Distributions de dividendes</t>
  </si>
  <si>
    <t>Augmentation du besoin en fonds de roulement</t>
  </si>
  <si>
    <t>Autres emplois :</t>
  </si>
  <si>
    <t>Total des emplois</t>
  </si>
  <si>
    <t>Ressources de financement</t>
  </si>
  <si>
    <t>Augmentation des fonds propres</t>
  </si>
  <si>
    <t>Diminution du besoin en fonds de roulement</t>
  </si>
  <si>
    <t>Autres ressources :</t>
  </si>
  <si>
    <t>Total des ressources</t>
  </si>
  <si>
    <t>Trésorerie début d'exercice</t>
  </si>
  <si>
    <t>Flux de trésorerie annuel</t>
  </si>
  <si>
    <t>Trésorerie fin d'exercice</t>
  </si>
  <si>
    <t>Crédit-bail</t>
  </si>
  <si>
    <t>Fonds commercial</t>
  </si>
  <si>
    <t>Besoin en fonds de roulement</t>
  </si>
  <si>
    <t>Stocks de matières</t>
  </si>
  <si>
    <t>Clients</t>
  </si>
  <si>
    <t>Fournisseurs</t>
  </si>
  <si>
    <t>Dettes fiscales et sociales</t>
  </si>
  <si>
    <t>Variation du besoin en fonds de roulement</t>
  </si>
  <si>
    <t>Remboursement des emprunts</t>
  </si>
  <si>
    <t>Nombre de services</t>
  </si>
  <si>
    <t>Nombre de couverts par service</t>
  </si>
  <si>
    <t>Capital :</t>
  </si>
  <si>
    <t>Durée :</t>
  </si>
  <si>
    <t>Années</t>
  </si>
  <si>
    <t>Annuité</t>
  </si>
  <si>
    <t>Remboursement</t>
  </si>
  <si>
    <t>Capital dû</t>
  </si>
  <si>
    <t>Taux :</t>
  </si>
  <si>
    <t>Coûts d'occupation</t>
  </si>
  <si>
    <t>Montant</t>
  </si>
  <si>
    <t>Dotation</t>
  </si>
  <si>
    <t>Solde de la capacité d'autof.</t>
  </si>
  <si>
    <t>Montant annuel</t>
  </si>
  <si>
    <t>Total des frais généraux</t>
  </si>
  <si>
    <t>Intérêts</t>
  </si>
  <si>
    <t>Impôts sur les bénéfices</t>
  </si>
  <si>
    <t>Calcul annuel</t>
  </si>
  <si>
    <t>Emprunt</t>
  </si>
  <si>
    <t>Addition moyenne HT</t>
  </si>
  <si>
    <t>Capacité d'autofinancement (*)</t>
  </si>
  <si>
    <t>(*) ou Cash Flow</t>
  </si>
  <si>
    <t>Chef de cuisine</t>
  </si>
  <si>
    <t>Commis 1</t>
  </si>
  <si>
    <t>Commis 2</t>
  </si>
  <si>
    <t>Plongeur</t>
  </si>
  <si>
    <t>Personnel</t>
  </si>
  <si>
    <t xml:space="preserve">Postes </t>
  </si>
  <si>
    <t>Brut</t>
  </si>
  <si>
    <t>Heures</t>
  </si>
  <si>
    <t>Charges</t>
  </si>
  <si>
    <t>travaillées</t>
  </si>
  <si>
    <t>Salaire et</t>
  </si>
  <si>
    <t>AN bruts</t>
  </si>
  <si>
    <t>Taux</t>
  </si>
  <si>
    <t>Serveur 2</t>
  </si>
  <si>
    <t>Serveur 1</t>
  </si>
  <si>
    <t>Gérant (Maître d'Hôtel)</t>
  </si>
  <si>
    <t>Taux de</t>
  </si>
  <si>
    <t>Mensuel (€)</t>
  </si>
  <si>
    <t>Productivité (CA/Heures)</t>
  </si>
  <si>
    <t>Taux de charges sociales</t>
  </si>
  <si>
    <t>Capacité d'autofinancement (Cash Flow)</t>
  </si>
  <si>
    <t>Durée de rotation du stock en jours</t>
  </si>
  <si>
    <t>Durée du crédit clients en jours</t>
  </si>
  <si>
    <t>Durée du crédit fournisseurs en jours</t>
  </si>
  <si>
    <t>Taux moyen de TVA sur les ventes</t>
  </si>
  <si>
    <t>Taux moyen de TVA sur les achats</t>
  </si>
  <si>
    <t>Résultat imposable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</si>
</sst>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0.0"/>
    <numFmt numFmtId="176" formatCode="0.000"/>
    <numFmt numFmtId="177" formatCode="0.00000000"/>
    <numFmt numFmtId="178" formatCode="0.0000000"/>
    <numFmt numFmtId="179" formatCode="0.000000"/>
    <numFmt numFmtId="180" formatCode="0.00000"/>
    <numFmt numFmtId="181" formatCode="0.0000"/>
  </numFmts>
  <fonts count="22">
    <font>
      <sz val="10"/>
      <name val="Arial"/>
      <family val="0"/>
    </font>
    <font>
      <b/>
      <i/>
      <sz val="14"/>
      <color indexed="12"/>
      <name val="Arial"/>
      <family val="2"/>
    </font>
    <font>
      <sz val="12"/>
      <name val="Arial"/>
      <family val="2"/>
    </font>
    <font>
      <b/>
      <i/>
      <sz val="12"/>
      <color indexed="12"/>
      <name val="Arial"/>
      <family val="2"/>
    </font>
    <font>
      <b/>
      <sz val="12"/>
      <name val="Arial"/>
      <family val="2"/>
    </font>
    <font>
      <sz val="14"/>
      <color indexed="12"/>
      <name val="Arial"/>
      <family val="2"/>
    </font>
    <font>
      <i/>
      <sz val="10"/>
      <name val="Arial"/>
      <family val="2"/>
    </font>
    <font>
      <i/>
      <sz val="12"/>
      <name val="Arial"/>
      <family val="2"/>
    </font>
    <font>
      <b/>
      <sz val="10"/>
      <name val="Arial"/>
      <family val="2"/>
    </font>
    <font>
      <b/>
      <sz val="12"/>
      <color indexed="48"/>
      <name val="Arial"/>
      <family val="2"/>
    </font>
    <font>
      <sz val="12"/>
      <color indexed="55"/>
      <name val="Arial"/>
      <family val="2"/>
    </font>
    <font>
      <b/>
      <sz val="12"/>
      <color indexed="52"/>
      <name val="Arial"/>
      <family val="2"/>
    </font>
    <font>
      <u val="single"/>
      <sz val="10"/>
      <color indexed="12"/>
      <name val="Arial"/>
      <family val="0"/>
    </font>
    <font>
      <u val="single"/>
      <sz val="10"/>
      <color indexed="36"/>
      <name val="Arial"/>
      <family val="0"/>
    </font>
    <font>
      <b/>
      <sz val="10"/>
      <color indexed="52"/>
      <name val="Arial"/>
      <family val="2"/>
    </font>
    <font>
      <sz val="10"/>
      <color indexed="52"/>
      <name val="Arial"/>
      <family val="2"/>
    </font>
    <font>
      <b/>
      <sz val="14"/>
      <color indexed="52"/>
      <name val="Arial"/>
      <family val="2"/>
    </font>
    <font>
      <b/>
      <i/>
      <sz val="12"/>
      <color indexed="52"/>
      <name val="Arial"/>
      <family val="2"/>
    </font>
    <font>
      <sz val="14"/>
      <color indexed="52"/>
      <name val="Arial"/>
      <family val="2"/>
    </font>
    <font>
      <b/>
      <sz val="12"/>
      <color indexed="12"/>
      <name val="Arial"/>
      <family val="2"/>
    </font>
    <font>
      <sz val="8"/>
      <name val="Arial"/>
      <family val="0"/>
    </font>
    <font>
      <b/>
      <u val="single"/>
      <sz val="10"/>
      <name val="Arial"/>
      <family val="2"/>
    </font>
  </fonts>
  <fills count="3">
    <fill>
      <patternFill/>
    </fill>
    <fill>
      <patternFill patternType="gray125"/>
    </fill>
    <fill>
      <patternFill patternType="solid">
        <fgColor indexed="55"/>
        <bgColor indexed="64"/>
      </patternFill>
    </fill>
  </fills>
  <borders count="16">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0" fillId="0" borderId="0" xfId="0" applyBorder="1" applyAlignment="1">
      <alignment/>
    </xf>
    <xf numFmtId="0" fontId="2" fillId="0" borderId="0" xfId="0" applyFont="1" applyAlignment="1">
      <alignment/>
    </xf>
    <xf numFmtId="0" fontId="3" fillId="0" borderId="1" xfId="0" applyFont="1" applyBorder="1" applyAlignment="1">
      <alignment/>
    </xf>
    <xf numFmtId="0" fontId="2" fillId="0" borderId="0" xfId="0"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0" fontId="2" fillId="0" borderId="2" xfId="0" applyFont="1" applyBorder="1" applyAlignment="1">
      <alignment/>
    </xf>
    <xf numFmtId="0" fontId="2" fillId="0" borderId="0" xfId="0" applyFont="1" applyBorder="1" applyAlignment="1">
      <alignment horizontal="right"/>
    </xf>
    <xf numFmtId="0" fontId="2" fillId="0" borderId="2" xfId="0" applyFont="1" applyBorder="1" applyAlignment="1">
      <alignment horizontal="right"/>
    </xf>
    <xf numFmtId="0" fontId="2" fillId="0" borderId="1" xfId="0" applyFont="1" applyBorder="1" applyAlignment="1">
      <alignment/>
    </xf>
    <xf numFmtId="0" fontId="2" fillId="0" borderId="3" xfId="0" applyFont="1" applyBorder="1" applyAlignment="1">
      <alignment/>
    </xf>
    <xf numFmtId="0" fontId="2" fillId="0" borderId="4" xfId="0" applyFont="1" applyBorder="1" applyAlignment="1">
      <alignment/>
    </xf>
    <xf numFmtId="0" fontId="4" fillId="0" borderId="5" xfId="0" applyFont="1" applyBorder="1" applyAlignment="1">
      <alignment horizontal="center"/>
    </xf>
    <xf numFmtId="0" fontId="4" fillId="0" borderId="6" xfId="0" applyFont="1" applyBorder="1" applyAlignment="1">
      <alignment horizontal="center"/>
    </xf>
    <xf numFmtId="0" fontId="2" fillId="0" borderId="7" xfId="0" applyFont="1" applyBorder="1" applyAlignment="1">
      <alignment/>
    </xf>
    <xf numFmtId="0" fontId="5" fillId="0" borderId="0" xfId="0" applyFont="1" applyAlignment="1">
      <alignment/>
    </xf>
    <xf numFmtId="0" fontId="3" fillId="0" borderId="0" xfId="0" applyFont="1" applyBorder="1" applyAlignment="1">
      <alignment/>
    </xf>
    <xf numFmtId="0" fontId="1" fillId="0" borderId="0" xfId="0" applyFont="1" applyBorder="1" applyAlignment="1">
      <alignment/>
    </xf>
    <xf numFmtId="0" fontId="5" fillId="0" borderId="1"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5" xfId="0" applyFont="1" applyBorder="1" applyAlignment="1">
      <alignment horizontal="centerContinuous"/>
    </xf>
    <xf numFmtId="0" fontId="2" fillId="0" borderId="10" xfId="0" applyFont="1" applyBorder="1" applyAlignment="1">
      <alignment horizontal="centerContinuous"/>
    </xf>
    <xf numFmtId="0" fontId="2" fillId="0" borderId="6" xfId="0" applyFont="1" applyBorder="1" applyAlignment="1">
      <alignment horizontal="centerContinuous"/>
    </xf>
    <xf numFmtId="0" fontId="6" fillId="0" borderId="2" xfId="0" applyFont="1" applyBorder="1" applyAlignment="1">
      <alignment/>
    </xf>
    <xf numFmtId="0" fontId="6" fillId="0" borderId="9" xfId="0" applyFont="1" applyBorder="1" applyAlignment="1">
      <alignment/>
    </xf>
    <xf numFmtId="0" fontId="4" fillId="0" borderId="8" xfId="0" applyFont="1" applyBorder="1" applyAlignment="1">
      <alignment/>
    </xf>
    <xf numFmtId="0" fontId="4" fillId="0" borderId="5" xfId="0" applyFont="1" applyBorder="1" applyAlignment="1">
      <alignment/>
    </xf>
    <xf numFmtId="0" fontId="6" fillId="2" borderId="3" xfId="0" applyFont="1" applyFill="1" applyBorder="1" applyAlignment="1">
      <alignment/>
    </xf>
    <xf numFmtId="0" fontId="6" fillId="2" borderId="4" xfId="0" applyFont="1" applyFill="1" applyBorder="1" applyAlignment="1">
      <alignment/>
    </xf>
    <xf numFmtId="0" fontId="2" fillId="2" borderId="11"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9" fontId="2" fillId="0" borderId="7" xfId="21" applyFont="1" applyBorder="1" applyAlignment="1">
      <alignment/>
    </xf>
    <xf numFmtId="9" fontId="2" fillId="0" borderId="7" xfId="21" applyNumberFormat="1" applyFont="1" applyBorder="1" applyAlignment="1">
      <alignment/>
    </xf>
    <xf numFmtId="9" fontId="4" fillId="0" borderId="11" xfId="21" applyFont="1" applyBorder="1" applyAlignment="1">
      <alignment/>
    </xf>
    <xf numFmtId="0" fontId="2" fillId="0" borderId="5" xfId="0" applyFont="1" applyBorder="1" applyAlignment="1">
      <alignment horizontal="center"/>
    </xf>
    <xf numFmtId="0" fontId="2" fillId="0" borderId="5" xfId="0" applyFont="1" applyBorder="1" applyAlignment="1">
      <alignment horizontal="right"/>
    </xf>
    <xf numFmtId="9" fontId="2" fillId="0" borderId="3" xfId="21" applyFont="1" applyBorder="1" applyAlignment="1">
      <alignment/>
    </xf>
    <xf numFmtId="0" fontId="8" fillId="0" borderId="7" xfId="0" applyFont="1" applyBorder="1" applyAlignment="1">
      <alignment horizontal="center"/>
    </xf>
    <xf numFmtId="0" fontId="8" fillId="0" borderId="6" xfId="0" applyFont="1" applyBorder="1" applyAlignment="1">
      <alignment horizontal="center"/>
    </xf>
    <xf numFmtId="0" fontId="2" fillId="0" borderId="11" xfId="0" applyFont="1" applyBorder="1" applyAlignment="1">
      <alignment/>
    </xf>
    <xf numFmtId="0" fontId="7" fillId="0" borderId="5" xfId="0" applyFont="1" applyBorder="1" applyAlignment="1">
      <alignment horizontal="center"/>
    </xf>
    <xf numFmtId="0" fontId="0" fillId="0" borderId="1" xfId="0" applyBorder="1" applyAlignment="1">
      <alignment/>
    </xf>
    <xf numFmtId="0" fontId="7" fillId="0" borderId="7" xfId="0" applyFont="1" applyBorder="1" applyAlignment="1">
      <alignment horizontal="center"/>
    </xf>
    <xf numFmtId="0" fontId="0" fillId="0" borderId="7" xfId="0" applyBorder="1" applyAlignment="1">
      <alignment horizontal="center"/>
    </xf>
    <xf numFmtId="0" fontId="0" fillId="0" borderId="7" xfId="0" applyFont="1" applyBorder="1" applyAlignment="1">
      <alignment horizontal="center"/>
    </xf>
    <xf numFmtId="0" fontId="4" fillId="0" borderId="11" xfId="0" applyFont="1" applyBorder="1" applyAlignment="1">
      <alignment horizontal="center"/>
    </xf>
    <xf numFmtId="0" fontId="4" fillId="0" borderId="4" xfId="0" applyFont="1" applyBorder="1" applyAlignment="1">
      <alignment horizontal="center"/>
    </xf>
    <xf numFmtId="0" fontId="2" fillId="2" borderId="7" xfId="0" applyFont="1" applyFill="1" applyBorder="1" applyAlignment="1">
      <alignment/>
    </xf>
    <xf numFmtId="0" fontId="2" fillId="0" borderId="6" xfId="0" applyFont="1" applyBorder="1" applyAlignment="1">
      <alignment horizontal="right"/>
    </xf>
    <xf numFmtId="3" fontId="2" fillId="0" borderId="12" xfId="0" applyNumberFormat="1" applyFont="1" applyBorder="1" applyAlignment="1">
      <alignment/>
    </xf>
    <xf numFmtId="10" fontId="2" fillId="0" borderId="1" xfId="0" applyNumberFormat="1" applyFont="1" applyBorder="1" applyAlignment="1">
      <alignment/>
    </xf>
    <xf numFmtId="0" fontId="2" fillId="0" borderId="13" xfId="0" applyFont="1" applyBorder="1" applyAlignment="1">
      <alignment/>
    </xf>
    <xf numFmtId="0" fontId="2" fillId="0" borderId="7"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center"/>
    </xf>
    <xf numFmtId="0" fontId="2" fillId="0" borderId="8" xfId="0" applyFont="1" applyBorder="1" applyAlignment="1">
      <alignment horizontal="center"/>
    </xf>
    <xf numFmtId="3" fontId="2" fillId="0" borderId="11" xfId="0" applyNumberFormat="1" applyFont="1" applyBorder="1" applyAlignment="1">
      <alignment/>
    </xf>
    <xf numFmtId="3" fontId="2" fillId="0" borderId="0" xfId="0" applyNumberFormat="1" applyFont="1" applyBorder="1" applyAlignment="1">
      <alignment/>
    </xf>
    <xf numFmtId="3" fontId="2" fillId="0" borderId="3" xfId="0" applyNumberFormat="1" applyFont="1" applyBorder="1" applyAlignment="1">
      <alignment/>
    </xf>
    <xf numFmtId="0" fontId="2" fillId="0" borderId="2" xfId="0" applyFont="1" applyBorder="1" applyAlignment="1">
      <alignment horizontal="center"/>
    </xf>
    <xf numFmtId="0" fontId="2" fillId="0" borderId="9" xfId="0" applyFont="1" applyBorder="1" applyAlignment="1">
      <alignment horizontal="center"/>
    </xf>
    <xf numFmtId="3" fontId="2" fillId="0" borderId="4" xfId="0" applyNumberFormat="1" applyFont="1" applyBorder="1" applyAlignment="1">
      <alignment/>
    </xf>
    <xf numFmtId="0" fontId="2" fillId="0" borderId="11" xfId="0" applyFont="1" applyBorder="1" applyAlignment="1">
      <alignment horizontal="center"/>
    </xf>
    <xf numFmtId="0" fontId="2" fillId="0" borderId="0" xfId="0" applyFont="1" applyBorder="1" applyAlignment="1">
      <alignment horizontal="center"/>
    </xf>
    <xf numFmtId="3" fontId="2" fillId="0" borderId="1" xfId="0" applyNumberFormat="1" applyFont="1" applyBorder="1" applyAlignment="1">
      <alignment/>
    </xf>
    <xf numFmtId="0" fontId="2" fillId="2" borderId="14" xfId="0" applyFont="1" applyFill="1" applyBorder="1" applyAlignment="1">
      <alignment/>
    </xf>
    <xf numFmtId="0" fontId="2" fillId="2" borderId="15" xfId="0" applyFont="1" applyFill="1" applyBorder="1" applyAlignment="1">
      <alignment/>
    </xf>
    <xf numFmtId="0" fontId="2" fillId="2" borderId="13" xfId="0" applyFont="1" applyFill="1" applyBorder="1" applyAlignment="1">
      <alignment/>
    </xf>
    <xf numFmtId="9" fontId="2" fillId="2" borderId="3" xfId="21" applyFont="1" applyFill="1" applyBorder="1" applyAlignment="1">
      <alignment/>
    </xf>
    <xf numFmtId="0" fontId="4" fillId="0" borderId="7" xfId="0" applyFont="1" applyBorder="1" applyAlignment="1">
      <alignment/>
    </xf>
    <xf numFmtId="9" fontId="10" fillId="2" borderId="7" xfId="21" applyNumberFormat="1" applyFont="1" applyFill="1" applyBorder="1" applyAlignment="1">
      <alignment/>
    </xf>
    <xf numFmtId="9" fontId="10" fillId="2" borderId="7" xfId="21" applyFont="1" applyFill="1" applyBorder="1" applyAlignment="1">
      <alignment/>
    </xf>
    <xf numFmtId="9" fontId="2" fillId="2" borderId="7" xfId="21" applyFont="1" applyFill="1" applyBorder="1" applyAlignment="1">
      <alignment/>
    </xf>
    <xf numFmtId="1" fontId="7" fillId="0" borderId="7" xfId="0" applyNumberFormat="1" applyFont="1" applyBorder="1" applyAlignment="1">
      <alignment/>
    </xf>
    <xf numFmtId="1" fontId="7" fillId="2" borderId="7" xfId="0" applyNumberFormat="1" applyFont="1" applyFill="1" applyBorder="1" applyAlignment="1">
      <alignment/>
    </xf>
    <xf numFmtId="0" fontId="2" fillId="0" borderId="3" xfId="0" applyFont="1" applyBorder="1" applyAlignment="1" applyProtection="1">
      <alignment/>
      <protection locked="0"/>
    </xf>
    <xf numFmtId="0" fontId="2" fillId="2" borderId="3" xfId="0" applyFont="1" applyFill="1" applyBorder="1" applyAlignment="1" applyProtection="1">
      <alignment/>
      <protection locked="0"/>
    </xf>
    <xf numFmtId="3" fontId="2" fillId="0" borderId="12" xfId="0" applyNumberFormat="1" applyFont="1" applyBorder="1" applyAlignment="1" applyProtection="1">
      <alignment/>
      <protection locked="0"/>
    </xf>
    <xf numFmtId="10" fontId="2" fillId="0" borderId="0" xfId="0" applyNumberFormat="1" applyFont="1" applyBorder="1" applyAlignment="1" applyProtection="1">
      <alignment/>
      <protection locked="0"/>
    </xf>
    <xf numFmtId="0" fontId="2" fillId="0" borderId="14" xfId="0" applyFont="1" applyBorder="1" applyAlignment="1" applyProtection="1">
      <alignment horizontal="right"/>
      <protection locked="0"/>
    </xf>
    <xf numFmtId="1" fontId="6" fillId="0" borderId="2" xfId="0" applyNumberFormat="1" applyFont="1" applyBorder="1" applyAlignment="1" applyProtection="1">
      <alignment/>
      <protection locked="0"/>
    </xf>
    <xf numFmtId="1" fontId="6" fillId="0" borderId="9" xfId="0" applyNumberFormat="1" applyFont="1" applyBorder="1" applyAlignment="1" applyProtection="1">
      <alignment/>
      <protection locked="0"/>
    </xf>
    <xf numFmtId="1" fontId="6" fillId="0" borderId="0" xfId="0" applyNumberFormat="1" applyFont="1" applyBorder="1" applyAlignment="1" applyProtection="1">
      <alignment/>
      <protection locked="0"/>
    </xf>
    <xf numFmtId="1" fontId="6" fillId="0" borderId="1" xfId="0" applyNumberFormat="1" applyFont="1" applyBorder="1" applyAlignment="1" applyProtection="1">
      <alignment/>
      <protection locked="0"/>
    </xf>
    <xf numFmtId="9" fontId="2" fillId="0" borderId="7" xfId="21" applyNumberFormat="1" applyFont="1" applyBorder="1" applyAlignment="1" applyProtection="1">
      <alignment/>
      <protection locked="0"/>
    </xf>
    <xf numFmtId="9" fontId="2" fillId="0" borderId="7" xfId="21" applyFont="1" applyBorder="1" applyAlignment="1" applyProtection="1">
      <alignment/>
      <protection locked="0"/>
    </xf>
    <xf numFmtId="0" fontId="2" fillId="0" borderId="8" xfId="0" applyFont="1" applyBorder="1" applyAlignment="1" applyProtection="1">
      <alignment/>
      <protection locked="0"/>
    </xf>
    <xf numFmtId="0" fontId="2" fillId="0" borderId="2" xfId="0" applyFont="1" applyBorder="1" applyAlignment="1" applyProtection="1">
      <alignment/>
      <protection locked="0"/>
    </xf>
    <xf numFmtId="0" fontId="2" fillId="0" borderId="12" xfId="0" applyFont="1" applyBorder="1" applyAlignment="1" applyProtection="1">
      <alignment/>
      <protection locked="0"/>
    </xf>
    <xf numFmtId="0" fontId="2" fillId="0" borderId="0" xfId="0" applyFont="1" applyBorder="1" applyAlignment="1" applyProtection="1">
      <alignment/>
      <protection locked="0"/>
    </xf>
    <xf numFmtId="1" fontId="2" fillId="0" borderId="7" xfId="0" applyNumberFormat="1" applyFont="1" applyBorder="1" applyAlignment="1" applyProtection="1">
      <alignment/>
      <protection locked="0"/>
    </xf>
    <xf numFmtId="3" fontId="2" fillId="0" borderId="0" xfId="0" applyNumberFormat="1" applyFont="1" applyAlignment="1" applyProtection="1">
      <alignment/>
      <protection locked="0"/>
    </xf>
    <xf numFmtId="172" fontId="2" fillId="0" borderId="11" xfId="21" applyNumberFormat="1" applyFont="1" applyBorder="1" applyAlignment="1">
      <alignment/>
    </xf>
    <xf numFmtId="172" fontId="2" fillId="0" borderId="3" xfId="21" applyNumberFormat="1" applyFont="1" applyBorder="1" applyAlignment="1">
      <alignment/>
    </xf>
    <xf numFmtId="0" fontId="2" fillId="0" borderId="0" xfId="0" applyFont="1" applyBorder="1" applyAlignment="1" applyProtection="1">
      <alignment horizontal="right"/>
      <protection locked="0"/>
    </xf>
    <xf numFmtId="0" fontId="0" fillId="0" borderId="0" xfId="0" applyFont="1" applyBorder="1" applyAlignment="1">
      <alignment horizontal="center"/>
    </xf>
    <xf numFmtId="0" fontId="2" fillId="0" borderId="0" xfId="0" applyFont="1" applyFill="1" applyBorder="1" applyAlignment="1">
      <alignment vertical="top" wrapText="1"/>
    </xf>
    <xf numFmtId="0" fontId="8" fillId="0" borderId="0" xfId="0" applyFont="1" applyFill="1" applyBorder="1" applyAlignment="1">
      <alignment horizontal="center" vertical="top" wrapText="1"/>
    </xf>
    <xf numFmtId="0" fontId="0" fillId="0" borderId="0" xfId="0" applyFont="1" applyFill="1" applyBorder="1" applyAlignment="1">
      <alignment vertical="top" wrapText="1"/>
    </xf>
    <xf numFmtId="3" fontId="0" fillId="0" borderId="0" xfId="0" applyNumberFormat="1" applyFont="1" applyFill="1" applyBorder="1" applyAlignment="1">
      <alignment horizontal="right" vertical="top" wrapText="1"/>
    </xf>
    <xf numFmtId="0" fontId="0" fillId="0" borderId="0" xfId="0" applyFill="1" applyBorder="1" applyAlignment="1">
      <alignment/>
    </xf>
    <xf numFmtId="0" fontId="8" fillId="0" borderId="0" xfId="0" applyFont="1" applyFill="1" applyBorder="1" applyAlignment="1">
      <alignment horizontal="center"/>
    </xf>
    <xf numFmtId="3" fontId="0" fillId="0" borderId="0" xfId="0" applyNumberFormat="1" applyFill="1" applyBorder="1" applyAlignment="1">
      <alignment/>
    </xf>
    <xf numFmtId="1" fontId="0" fillId="0" borderId="0" xfId="0" applyNumberFormat="1" applyFill="1" applyBorder="1" applyAlignment="1">
      <alignment/>
    </xf>
    <xf numFmtId="0" fontId="6" fillId="0" borderId="0" xfId="0" applyFont="1" applyFill="1" applyBorder="1" applyAlignment="1">
      <alignment/>
    </xf>
    <xf numFmtId="3" fontId="6" fillId="0" borderId="0" xfId="0" applyNumberFormat="1" applyFont="1" applyFill="1" applyBorder="1" applyAlignment="1">
      <alignment/>
    </xf>
    <xf numFmtId="0" fontId="2" fillId="0" borderId="0" xfId="0" applyFont="1" applyFill="1" applyBorder="1" applyAlignment="1">
      <alignment/>
    </xf>
    <xf numFmtId="0" fontId="8" fillId="0" borderId="0" xfId="0" applyFont="1" applyFill="1" applyBorder="1" applyAlignment="1">
      <alignment/>
    </xf>
    <xf numFmtId="3" fontId="8" fillId="0" borderId="0" xfId="0" applyNumberFormat="1" applyFont="1" applyFill="1" applyBorder="1" applyAlignment="1">
      <alignment/>
    </xf>
    <xf numFmtId="10" fontId="8" fillId="0" borderId="0" xfId="21" applyNumberFormat="1" applyFont="1" applyFill="1" applyBorder="1" applyAlignment="1">
      <alignment/>
    </xf>
    <xf numFmtId="0" fontId="0" fillId="0" borderId="0" xfId="0" applyFont="1" applyFill="1" applyBorder="1" applyAlignment="1">
      <alignment/>
    </xf>
    <xf numFmtId="0" fontId="16" fillId="0" borderId="1" xfId="0" applyFont="1" applyBorder="1" applyAlignment="1">
      <alignment/>
    </xf>
    <xf numFmtId="0" fontId="17" fillId="0" borderId="1" xfId="0" applyFont="1" applyBorder="1" applyAlignment="1" applyProtection="1">
      <alignment/>
      <protection locked="0"/>
    </xf>
    <xf numFmtId="0" fontId="17" fillId="0" borderId="1" xfId="0" applyFont="1" applyBorder="1" applyAlignment="1">
      <alignment/>
    </xf>
    <xf numFmtId="0" fontId="15" fillId="0" borderId="0" xfId="0" applyFont="1" applyAlignment="1">
      <alignment/>
    </xf>
    <xf numFmtId="0" fontId="4" fillId="0" borderId="2" xfId="0" applyFont="1" applyBorder="1" applyAlignment="1">
      <alignment horizontal="centerContinuous"/>
    </xf>
    <xf numFmtId="0" fontId="2" fillId="0" borderId="15" xfId="0" applyFont="1" applyBorder="1" applyAlignment="1" applyProtection="1">
      <alignment horizontal="centerContinuous"/>
      <protection locked="0"/>
    </xf>
    <xf numFmtId="0" fontId="9" fillId="0" borderId="0" xfId="0" applyFont="1" applyAlignment="1">
      <alignment/>
    </xf>
    <xf numFmtId="0" fontId="9" fillId="0" borderId="1" xfId="0" applyFont="1" applyBorder="1" applyAlignment="1">
      <alignment/>
    </xf>
    <xf numFmtId="0" fontId="16" fillId="0" borderId="1" xfId="0" applyFont="1" applyFill="1" applyBorder="1" applyAlignment="1">
      <alignment/>
    </xf>
    <xf numFmtId="0" fontId="18" fillId="0" borderId="1" xfId="0" applyFont="1" applyBorder="1" applyAlignment="1">
      <alignment/>
    </xf>
    <xf numFmtId="0" fontId="19" fillId="0" borderId="0" xfId="0" applyFont="1" applyAlignment="1">
      <alignment/>
    </xf>
    <xf numFmtId="3" fontId="4" fillId="0" borderId="8" xfId="0" applyNumberFormat="1" applyFont="1" applyBorder="1" applyAlignment="1">
      <alignment/>
    </xf>
    <xf numFmtId="3" fontId="2" fillId="0" borderId="5" xfId="0" applyNumberFormat="1" applyFont="1" applyBorder="1" applyAlignment="1">
      <alignment/>
    </xf>
    <xf numFmtId="9" fontId="2" fillId="0" borderId="15" xfId="21" applyNumberFormat="1" applyFont="1" applyBorder="1" applyAlignment="1">
      <alignment/>
    </xf>
    <xf numFmtId="3" fontId="4" fillId="0" borderId="2" xfId="0" applyNumberFormat="1" applyFont="1" applyBorder="1" applyAlignment="1">
      <alignment horizontal="center"/>
    </xf>
    <xf numFmtId="3" fontId="2" fillId="0" borderId="3" xfId="0" applyNumberFormat="1" applyFont="1" applyBorder="1" applyAlignment="1" applyProtection="1">
      <alignment/>
      <protection locked="0"/>
    </xf>
    <xf numFmtId="3" fontId="2" fillId="0" borderId="7" xfId="0" applyNumberFormat="1" applyFont="1" applyBorder="1" applyAlignment="1">
      <alignment/>
    </xf>
    <xf numFmtId="3" fontId="2" fillId="0" borderId="11" xfId="0" applyNumberFormat="1" applyFont="1" applyBorder="1" applyAlignment="1" applyProtection="1">
      <alignment/>
      <protection locked="0"/>
    </xf>
    <xf numFmtId="3" fontId="2" fillId="0" borderId="4" xfId="0" applyNumberFormat="1" applyFont="1" applyBorder="1" applyAlignment="1" applyProtection="1">
      <alignment/>
      <protection locked="0"/>
    </xf>
    <xf numFmtId="3" fontId="2" fillId="0" borderId="0" xfId="0" applyNumberFormat="1" applyFont="1" applyBorder="1" applyAlignment="1" applyProtection="1">
      <alignment/>
      <protection locked="0"/>
    </xf>
    <xf numFmtId="3" fontId="2" fillId="2" borderId="7" xfId="0" applyNumberFormat="1" applyFont="1" applyFill="1" applyBorder="1" applyAlignment="1">
      <alignment/>
    </xf>
    <xf numFmtId="3" fontId="2" fillId="0" borderId="6" xfId="0" applyNumberFormat="1" applyFont="1" applyBorder="1" applyAlignment="1">
      <alignment/>
    </xf>
    <xf numFmtId="3" fontId="4" fillId="0" borderId="5" xfId="0" applyNumberFormat="1" applyFont="1" applyBorder="1" applyAlignment="1">
      <alignment/>
    </xf>
    <xf numFmtId="0" fontId="8" fillId="0" borderId="11"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0" fillId="0" borderId="4" xfId="0" applyBorder="1" applyAlignment="1">
      <alignment/>
    </xf>
    <xf numFmtId="0" fontId="8" fillId="0" borderId="10" xfId="0" applyFont="1" applyBorder="1" applyAlignment="1">
      <alignment horizontal="centerContinuous"/>
    </xf>
    <xf numFmtId="0" fontId="8" fillId="0" borderId="6" xfId="0" applyFont="1" applyBorder="1" applyAlignment="1">
      <alignment horizontal="centerContinuous"/>
    </xf>
    <xf numFmtId="0" fontId="8" fillId="0" borderId="5" xfId="0" applyFont="1" applyBorder="1" applyAlignment="1">
      <alignment horizontal="center"/>
    </xf>
    <xf numFmtId="0" fontId="2" fillId="0" borderId="3" xfId="0" applyFont="1" applyBorder="1" applyAlignment="1">
      <alignment/>
    </xf>
    <xf numFmtId="3" fontId="2" fillId="0" borderId="0" xfId="0" applyNumberFormat="1" applyFont="1" applyBorder="1" applyAlignment="1">
      <alignment/>
    </xf>
    <xf numFmtId="3" fontId="2" fillId="0" borderId="3" xfId="0" applyNumberFormat="1" applyFont="1" applyBorder="1" applyAlignment="1">
      <alignment/>
    </xf>
    <xf numFmtId="10" fontId="2" fillId="0" borderId="0" xfId="0" applyNumberFormat="1" applyFont="1" applyBorder="1" applyAlignment="1">
      <alignment/>
    </xf>
    <xf numFmtId="9" fontId="2" fillId="0" borderId="0" xfId="0" applyNumberFormat="1" applyFont="1" applyBorder="1" applyAlignment="1">
      <alignment/>
    </xf>
    <xf numFmtId="0" fontId="2" fillId="0" borderId="0" xfId="0" applyFont="1" applyBorder="1" applyAlignment="1">
      <alignment/>
    </xf>
    <xf numFmtId="0" fontId="4" fillId="0" borderId="7" xfId="0" applyFont="1" applyBorder="1" applyAlignment="1">
      <alignment horizontal="center"/>
    </xf>
    <xf numFmtId="3" fontId="2" fillId="0" borderId="6" xfId="0" applyNumberFormat="1" applyFont="1" applyBorder="1" applyAlignment="1">
      <alignment/>
    </xf>
    <xf numFmtId="3" fontId="2" fillId="0" borderId="7" xfId="0" applyNumberFormat="1"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5" xfId="0" applyFont="1" applyBorder="1" applyAlignment="1">
      <alignment/>
    </xf>
    <xf numFmtId="2" fontId="2" fillId="0" borderId="7" xfId="0" applyNumberFormat="1" applyFont="1" applyBorder="1" applyAlignment="1">
      <alignment/>
    </xf>
    <xf numFmtId="0" fontId="2" fillId="0" borderId="0" xfId="0" applyFont="1" applyAlignment="1">
      <alignment/>
    </xf>
    <xf numFmtId="0" fontId="2" fillId="0" borderId="4" xfId="0" applyFont="1" applyBorder="1" applyAlignment="1">
      <alignment horizontal="center"/>
    </xf>
    <xf numFmtId="9" fontId="2" fillId="0" borderId="4" xfId="0" applyNumberFormat="1" applyFont="1" applyBorder="1" applyAlignment="1">
      <alignment horizontal="center"/>
    </xf>
    <xf numFmtId="0" fontId="2" fillId="0" borderId="7" xfId="0" applyFont="1" applyBorder="1" applyAlignment="1">
      <alignment horizontal="center"/>
    </xf>
    <xf numFmtId="9" fontId="2" fillId="0" borderId="7" xfId="0" applyNumberFormat="1" applyFont="1" applyBorder="1" applyAlignment="1">
      <alignment horizontal="center"/>
    </xf>
    <xf numFmtId="10" fontId="2" fillId="0" borderId="7" xfId="0" applyNumberFormat="1" applyFont="1" applyBorder="1" applyAlignment="1">
      <alignment horizontal="center"/>
    </xf>
    <xf numFmtId="3" fontId="2" fillId="0" borderId="7" xfId="0" applyNumberFormat="1" applyFont="1" applyBorder="1" applyAlignment="1" applyProtection="1">
      <alignment/>
      <protection locked="0"/>
    </xf>
    <xf numFmtId="10" fontId="2" fillId="0" borderId="7" xfId="0" applyNumberFormat="1" applyFont="1" applyBorder="1" applyAlignment="1">
      <alignment/>
    </xf>
    <xf numFmtId="9" fontId="2" fillId="0" borderId="7" xfId="0" applyNumberFormat="1" applyFont="1" applyBorder="1" applyAlignment="1">
      <alignment/>
    </xf>
    <xf numFmtId="0" fontId="2" fillId="0" borderId="7" xfId="0" applyFon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200025</xdr:rowOff>
    </xdr:from>
    <xdr:to>
      <xdr:col>5</xdr:col>
      <xdr:colOff>752475</xdr:colOff>
      <xdr:row>11</xdr:row>
      <xdr:rowOff>47625</xdr:rowOff>
    </xdr:to>
    <xdr:sp>
      <xdr:nvSpPr>
        <xdr:cNvPr id="1" name="Rectangle 4"/>
        <xdr:cNvSpPr>
          <a:spLocks/>
        </xdr:cNvSpPr>
      </xdr:nvSpPr>
      <xdr:spPr>
        <a:xfrm>
          <a:off x="314325" y="200025"/>
          <a:ext cx="5962650" cy="2038350"/>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200" b="1" i="0" u="none" baseline="0">
              <a:solidFill>
                <a:srgbClr val="FF9900"/>
              </a:solidFill>
              <a:latin typeface="Arial"/>
              <a:ea typeface="Arial"/>
              <a:cs typeface="Arial"/>
            </a:rPr>
            <a:t>Création d’un restaurant de 120 couverts dans un local loué à aménager</a:t>
          </a:r>
          <a:r>
            <a:rPr lang="en-US" cap="none" sz="1000" b="0" i="0" u="none" baseline="0">
              <a:latin typeface="Arial"/>
              <a:ea typeface="Arial"/>
              <a:cs typeface="Arial"/>
            </a:rPr>
            <a:t>
o </a:t>
          </a:r>
          <a:r>
            <a:rPr lang="en-US" cap="none" sz="1000" b="1" i="0" u="none" baseline="0">
              <a:solidFill>
                <a:srgbClr val="FF9900"/>
              </a:solidFill>
              <a:latin typeface="Arial"/>
              <a:ea typeface="Arial"/>
              <a:cs typeface="Arial"/>
            </a:rPr>
            <a:t>Loyer annuel</a:t>
          </a:r>
          <a:r>
            <a:rPr lang="en-US" cap="none" sz="1000" b="0" i="0" u="none" baseline="0">
              <a:solidFill>
                <a:srgbClr val="FF9900"/>
              </a:solidFill>
              <a:latin typeface="Arial"/>
              <a:ea typeface="Arial"/>
              <a:cs typeface="Arial"/>
            </a:rPr>
            <a:t> </a:t>
          </a:r>
          <a:r>
            <a:rPr lang="en-US" cap="none" sz="1000" b="0" i="0" u="none" baseline="0">
              <a:latin typeface="Arial"/>
              <a:ea typeface="Arial"/>
              <a:cs typeface="Arial"/>
            </a:rPr>
            <a:t>:18 000 €.
o </a:t>
          </a:r>
          <a:r>
            <a:rPr lang="en-US" cap="none" sz="1000" b="1" i="0" u="none" baseline="0">
              <a:solidFill>
                <a:srgbClr val="FF9900"/>
              </a:solidFill>
              <a:latin typeface="Arial"/>
              <a:ea typeface="Arial"/>
              <a:cs typeface="Arial"/>
            </a:rPr>
            <a:t>Investissements</a:t>
          </a:r>
          <a:r>
            <a:rPr lang="en-US" cap="none" sz="1000" b="0" i="0" u="none" baseline="0">
              <a:latin typeface="Arial"/>
              <a:ea typeface="Arial"/>
              <a:cs typeface="Arial"/>
            </a:rPr>
            <a:t>
Droits et honoraires : 30 000 € amortissables sur 5 ans
Aménagements : 450 000 € amortissables sur 10 ans
Matériel : 300 000 € amortissables sur 5 ans
o </a:t>
          </a:r>
          <a:r>
            <a:rPr lang="en-US" cap="none" sz="1000" b="1" i="0" u="none" baseline="0">
              <a:solidFill>
                <a:srgbClr val="FF9900"/>
              </a:solidFill>
              <a:latin typeface="Arial"/>
              <a:ea typeface="Arial"/>
              <a:cs typeface="Arial"/>
            </a:rPr>
            <a:t>Fonds de roulement </a:t>
          </a:r>
          <a:r>
            <a:rPr lang="en-US" cap="none" sz="1000" b="0" i="0" u="none" baseline="0">
              <a:latin typeface="Arial"/>
              <a:ea typeface="Arial"/>
              <a:cs typeface="Arial"/>
            </a:rPr>
            <a:t>: 30 000 €
o </a:t>
          </a:r>
          <a:r>
            <a:rPr lang="en-US" cap="none" sz="1000" b="1" i="0" u="none" baseline="0">
              <a:solidFill>
                <a:srgbClr val="FF9900"/>
              </a:solidFill>
              <a:latin typeface="Arial"/>
              <a:ea typeface="Arial"/>
              <a:cs typeface="Arial"/>
            </a:rPr>
            <a:t>Financement</a:t>
          </a:r>
          <a:r>
            <a:rPr lang="en-US" cap="none" sz="1000" b="0" i="0" u="none" baseline="0">
              <a:latin typeface="Arial"/>
              <a:ea typeface="Arial"/>
              <a:cs typeface="Arial"/>
            </a:rPr>
            <a:t>
Capital : 150 000 €
Comptes-courants : 250 000 €
Emprunt : 6%, 7 ans
</a:t>
          </a:r>
        </a:p>
      </xdr:txBody>
    </xdr:sp>
    <xdr:clientData/>
  </xdr:twoCellAnchor>
  <xdr:twoCellAnchor>
    <xdr:from>
      <xdr:col>6</xdr:col>
      <xdr:colOff>66675</xdr:colOff>
      <xdr:row>17</xdr:row>
      <xdr:rowOff>161925</xdr:rowOff>
    </xdr:from>
    <xdr:to>
      <xdr:col>6</xdr:col>
      <xdr:colOff>1752600</xdr:colOff>
      <xdr:row>29</xdr:row>
      <xdr:rowOff>171450</xdr:rowOff>
    </xdr:to>
    <xdr:sp>
      <xdr:nvSpPr>
        <xdr:cNvPr id="2" name="AutoShape 5"/>
        <xdr:cNvSpPr>
          <a:spLocks/>
        </xdr:cNvSpPr>
      </xdr:nvSpPr>
      <xdr:spPr>
        <a:xfrm>
          <a:off x="6353175" y="3543300"/>
          <a:ext cx="1685925" cy="2409825"/>
        </a:xfrm>
        <a:prstGeom prst="rightArrow">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Les décisions d'investissement et de financement synthétisées dans le montage financier sont à l'origine des coûts d'occupation</a:t>
          </a:r>
        </a:p>
      </xdr:txBody>
    </xdr:sp>
    <xdr:clientData/>
  </xdr:twoCellAnchor>
  <xdr:twoCellAnchor>
    <xdr:from>
      <xdr:col>1</xdr:col>
      <xdr:colOff>1524000</xdr:colOff>
      <xdr:row>11</xdr:row>
      <xdr:rowOff>152400</xdr:rowOff>
    </xdr:from>
    <xdr:to>
      <xdr:col>4</xdr:col>
      <xdr:colOff>1552575</xdr:colOff>
      <xdr:row>16</xdr:row>
      <xdr:rowOff>114300</xdr:rowOff>
    </xdr:to>
    <xdr:sp>
      <xdr:nvSpPr>
        <xdr:cNvPr id="3" name="AutoShape 6"/>
        <xdr:cNvSpPr>
          <a:spLocks/>
        </xdr:cNvSpPr>
      </xdr:nvSpPr>
      <xdr:spPr>
        <a:xfrm>
          <a:off x="1819275" y="2343150"/>
          <a:ext cx="3514725" cy="952500"/>
        </a:xfrm>
        <a:prstGeom prst="downArrow">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Les décisions d'investissement et de financement sont synthétisées dans le montage financier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171450</xdr:rowOff>
    </xdr:from>
    <xdr:to>
      <xdr:col>2</xdr:col>
      <xdr:colOff>638175</xdr:colOff>
      <xdr:row>3</xdr:row>
      <xdr:rowOff>142875</xdr:rowOff>
    </xdr:to>
    <xdr:sp>
      <xdr:nvSpPr>
        <xdr:cNvPr id="1" name="Rectangle 17"/>
        <xdr:cNvSpPr>
          <a:spLocks/>
        </xdr:cNvSpPr>
      </xdr:nvSpPr>
      <xdr:spPr>
        <a:xfrm>
          <a:off x="171450" y="171450"/>
          <a:ext cx="1990725" cy="581025"/>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Trois hypothèses peuvent être testées : Optimiste, Normale, Pessimiste</a:t>
          </a:r>
        </a:p>
      </xdr:txBody>
    </xdr:sp>
    <xdr:clientData/>
  </xdr:twoCellAnchor>
  <xdr:twoCellAnchor>
    <xdr:from>
      <xdr:col>0</xdr:col>
      <xdr:colOff>171450</xdr:colOff>
      <xdr:row>4</xdr:row>
      <xdr:rowOff>104775</xdr:rowOff>
    </xdr:from>
    <xdr:to>
      <xdr:col>2</xdr:col>
      <xdr:colOff>638175</xdr:colOff>
      <xdr:row>7</xdr:row>
      <xdr:rowOff>95250</xdr:rowOff>
    </xdr:to>
    <xdr:sp>
      <xdr:nvSpPr>
        <xdr:cNvPr id="2" name="Rectangle 18"/>
        <xdr:cNvSpPr>
          <a:spLocks/>
        </xdr:cNvSpPr>
      </xdr:nvSpPr>
      <xdr:spPr>
        <a:xfrm>
          <a:off x="171450" y="904875"/>
          <a:ext cx="1990725" cy="571500"/>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Objectif de ratio matière :
Pour une aide  à la détermination, cf </a:t>
          </a:r>
          <a:r>
            <a:rPr lang="en-US" cap="none" sz="1000" b="1" i="0" u="sng" baseline="0">
              <a:latin typeface="Arial"/>
              <a:ea typeface="Arial"/>
              <a:cs typeface="Arial"/>
            </a:rPr>
            <a:t>budgets</a:t>
          </a:r>
        </a:p>
      </xdr:txBody>
    </xdr:sp>
    <xdr:clientData/>
  </xdr:twoCellAnchor>
  <xdr:twoCellAnchor>
    <xdr:from>
      <xdr:col>2</xdr:col>
      <xdr:colOff>619125</xdr:colOff>
      <xdr:row>3</xdr:row>
      <xdr:rowOff>95250</xdr:rowOff>
    </xdr:from>
    <xdr:to>
      <xdr:col>3</xdr:col>
      <xdr:colOff>0</xdr:colOff>
      <xdr:row>4</xdr:row>
      <xdr:rowOff>104775</xdr:rowOff>
    </xdr:to>
    <xdr:sp>
      <xdr:nvSpPr>
        <xdr:cNvPr id="3" name="Line 20"/>
        <xdr:cNvSpPr>
          <a:spLocks/>
        </xdr:cNvSpPr>
      </xdr:nvSpPr>
      <xdr:spPr>
        <a:xfrm>
          <a:off x="2143125" y="704850"/>
          <a:ext cx="209550" cy="200025"/>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200025</xdr:colOff>
      <xdr:row>8</xdr:row>
      <xdr:rowOff>95250</xdr:rowOff>
    </xdr:from>
    <xdr:to>
      <xdr:col>2</xdr:col>
      <xdr:colOff>666750</xdr:colOff>
      <xdr:row>10</xdr:row>
      <xdr:rowOff>133350</xdr:rowOff>
    </xdr:to>
    <xdr:sp>
      <xdr:nvSpPr>
        <xdr:cNvPr id="4" name="Rectangle 22"/>
        <xdr:cNvSpPr>
          <a:spLocks/>
        </xdr:cNvSpPr>
      </xdr:nvSpPr>
      <xdr:spPr>
        <a:xfrm>
          <a:off x="200025" y="1666875"/>
          <a:ext cx="1990725" cy="428625"/>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A partir de la feuille "détail des prévisions"</a:t>
          </a:r>
        </a:p>
      </xdr:txBody>
    </xdr:sp>
    <xdr:clientData/>
  </xdr:twoCellAnchor>
  <xdr:twoCellAnchor>
    <xdr:from>
      <xdr:col>2</xdr:col>
      <xdr:colOff>647700</xdr:colOff>
      <xdr:row>10</xdr:row>
      <xdr:rowOff>85725</xdr:rowOff>
    </xdr:from>
    <xdr:to>
      <xdr:col>3</xdr:col>
      <xdr:colOff>0</xdr:colOff>
      <xdr:row>10</xdr:row>
      <xdr:rowOff>85725</xdr:rowOff>
    </xdr:to>
    <xdr:sp>
      <xdr:nvSpPr>
        <xdr:cNvPr id="5" name="Line 23"/>
        <xdr:cNvSpPr>
          <a:spLocks/>
        </xdr:cNvSpPr>
      </xdr:nvSpPr>
      <xdr:spPr>
        <a:xfrm>
          <a:off x="2171700" y="2047875"/>
          <a:ext cx="180975"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11</xdr:row>
      <xdr:rowOff>133350</xdr:rowOff>
    </xdr:from>
    <xdr:to>
      <xdr:col>2</xdr:col>
      <xdr:colOff>657225</xdr:colOff>
      <xdr:row>14</xdr:row>
      <xdr:rowOff>133350</xdr:rowOff>
    </xdr:to>
    <xdr:sp>
      <xdr:nvSpPr>
        <xdr:cNvPr id="6" name="Rectangle 24"/>
        <xdr:cNvSpPr>
          <a:spLocks/>
        </xdr:cNvSpPr>
      </xdr:nvSpPr>
      <xdr:spPr>
        <a:xfrm>
          <a:off x="190500" y="2286000"/>
          <a:ext cx="1990725" cy="581025"/>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A partir des moyennes professionnelles ou de la feuille "détail des prévisions"</a:t>
          </a:r>
        </a:p>
      </xdr:txBody>
    </xdr:sp>
    <xdr:clientData/>
  </xdr:twoCellAnchor>
  <xdr:twoCellAnchor>
    <xdr:from>
      <xdr:col>2</xdr:col>
      <xdr:colOff>714375</xdr:colOff>
      <xdr:row>14</xdr:row>
      <xdr:rowOff>19050</xdr:rowOff>
    </xdr:from>
    <xdr:to>
      <xdr:col>2</xdr:col>
      <xdr:colOff>790575</xdr:colOff>
      <xdr:row>18</xdr:row>
      <xdr:rowOff>19050</xdr:rowOff>
    </xdr:to>
    <xdr:sp>
      <xdr:nvSpPr>
        <xdr:cNvPr id="7" name="AutoShape 26"/>
        <xdr:cNvSpPr>
          <a:spLocks/>
        </xdr:cNvSpPr>
      </xdr:nvSpPr>
      <xdr:spPr>
        <a:xfrm>
          <a:off x="2238375" y="2752725"/>
          <a:ext cx="76200" cy="762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15</xdr:row>
      <xdr:rowOff>57150</xdr:rowOff>
    </xdr:from>
    <xdr:to>
      <xdr:col>2</xdr:col>
      <xdr:colOff>657225</xdr:colOff>
      <xdr:row>17</xdr:row>
      <xdr:rowOff>123825</xdr:rowOff>
    </xdr:to>
    <xdr:sp>
      <xdr:nvSpPr>
        <xdr:cNvPr id="8" name="Rectangle 27"/>
        <xdr:cNvSpPr>
          <a:spLocks/>
        </xdr:cNvSpPr>
      </xdr:nvSpPr>
      <xdr:spPr>
        <a:xfrm>
          <a:off x="190500" y="2981325"/>
          <a:ext cx="1990725" cy="447675"/>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Coûts d'occupation : à partir de la feuille "Montage financier"</a:t>
          </a:r>
        </a:p>
      </xdr:txBody>
    </xdr:sp>
    <xdr:clientData/>
  </xdr:twoCellAnchor>
  <xdr:twoCellAnchor>
    <xdr:from>
      <xdr:col>2</xdr:col>
      <xdr:colOff>619125</xdr:colOff>
      <xdr:row>7</xdr:row>
      <xdr:rowOff>104775</xdr:rowOff>
    </xdr:from>
    <xdr:to>
      <xdr:col>3</xdr:col>
      <xdr:colOff>9525</xdr:colOff>
      <xdr:row>8</xdr:row>
      <xdr:rowOff>142875</xdr:rowOff>
    </xdr:to>
    <xdr:sp>
      <xdr:nvSpPr>
        <xdr:cNvPr id="9" name="Line 29"/>
        <xdr:cNvSpPr>
          <a:spLocks/>
        </xdr:cNvSpPr>
      </xdr:nvSpPr>
      <xdr:spPr>
        <a:xfrm>
          <a:off x="2143125" y="1485900"/>
          <a:ext cx="219075" cy="22860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638175</xdr:colOff>
      <xdr:row>12</xdr:row>
      <xdr:rowOff>104775</xdr:rowOff>
    </xdr:from>
    <xdr:to>
      <xdr:col>3</xdr:col>
      <xdr:colOff>9525</xdr:colOff>
      <xdr:row>12</xdr:row>
      <xdr:rowOff>104775</xdr:rowOff>
    </xdr:to>
    <xdr:sp>
      <xdr:nvSpPr>
        <xdr:cNvPr id="10" name="Line 30"/>
        <xdr:cNvSpPr>
          <a:spLocks/>
        </xdr:cNvSpPr>
      </xdr:nvSpPr>
      <xdr:spPr>
        <a:xfrm>
          <a:off x="2162175" y="2447925"/>
          <a:ext cx="200025"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18</xdr:row>
      <xdr:rowOff>57150</xdr:rowOff>
    </xdr:from>
    <xdr:to>
      <xdr:col>2</xdr:col>
      <xdr:colOff>676275</xdr:colOff>
      <xdr:row>22</xdr:row>
      <xdr:rowOff>66675</xdr:rowOff>
    </xdr:to>
    <xdr:sp>
      <xdr:nvSpPr>
        <xdr:cNvPr id="11" name="Rectangle 31"/>
        <xdr:cNvSpPr>
          <a:spLocks/>
        </xdr:cNvSpPr>
      </xdr:nvSpPr>
      <xdr:spPr>
        <a:xfrm>
          <a:off x="209550" y="3552825"/>
          <a:ext cx="1990725" cy="790575"/>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Régime des PME : 15% des bénéfices non distribués. Le résultat imposable tient compte des déficits antérieurs</a:t>
          </a:r>
        </a:p>
      </xdr:txBody>
    </xdr:sp>
    <xdr:clientData/>
  </xdr:twoCellAnchor>
  <xdr:twoCellAnchor>
    <xdr:from>
      <xdr:col>2</xdr:col>
      <xdr:colOff>685800</xdr:colOff>
      <xdr:row>20</xdr:row>
      <xdr:rowOff>95250</xdr:rowOff>
    </xdr:from>
    <xdr:to>
      <xdr:col>3</xdr:col>
      <xdr:colOff>9525</xdr:colOff>
      <xdr:row>20</xdr:row>
      <xdr:rowOff>104775</xdr:rowOff>
    </xdr:to>
    <xdr:sp>
      <xdr:nvSpPr>
        <xdr:cNvPr id="12" name="Line 32"/>
        <xdr:cNvSpPr>
          <a:spLocks/>
        </xdr:cNvSpPr>
      </xdr:nvSpPr>
      <xdr:spPr>
        <a:xfrm flipV="1">
          <a:off x="2209800" y="3981450"/>
          <a:ext cx="152400" cy="9525"/>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23</xdr:row>
      <xdr:rowOff>19050</xdr:rowOff>
    </xdr:from>
    <xdr:to>
      <xdr:col>2</xdr:col>
      <xdr:colOff>657225</xdr:colOff>
      <xdr:row>27</xdr:row>
      <xdr:rowOff>171450</xdr:rowOff>
    </xdr:to>
    <xdr:sp>
      <xdr:nvSpPr>
        <xdr:cNvPr id="13" name="Rectangle 33"/>
        <xdr:cNvSpPr>
          <a:spLocks/>
        </xdr:cNvSpPr>
      </xdr:nvSpPr>
      <xdr:spPr>
        <a:xfrm>
          <a:off x="190500" y="4486275"/>
          <a:ext cx="1990725" cy="942975"/>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Indicateur essentiel du retour sur investissement : Mesure le total des ressources disponibles pour faire face aux emprunts</a:t>
          </a:r>
        </a:p>
      </xdr:txBody>
    </xdr:sp>
    <xdr:clientData/>
  </xdr:twoCellAnchor>
  <xdr:twoCellAnchor>
    <xdr:from>
      <xdr:col>3</xdr:col>
      <xdr:colOff>1371600</xdr:colOff>
      <xdr:row>26</xdr:row>
      <xdr:rowOff>161925</xdr:rowOff>
    </xdr:from>
    <xdr:to>
      <xdr:col>10</xdr:col>
      <xdr:colOff>0</xdr:colOff>
      <xdr:row>29</xdr:row>
      <xdr:rowOff>38100</xdr:rowOff>
    </xdr:to>
    <xdr:sp>
      <xdr:nvSpPr>
        <xdr:cNvPr id="14" name="Rectangle 35"/>
        <xdr:cNvSpPr>
          <a:spLocks/>
        </xdr:cNvSpPr>
      </xdr:nvSpPr>
      <xdr:spPr>
        <a:xfrm>
          <a:off x="3724275" y="5229225"/>
          <a:ext cx="4905375" cy="447675"/>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Pour qu'une entreprise soit viable (solvable), il faut que le Cash Flow soit au moins égal au remboursement des emprunts.</a:t>
          </a:r>
        </a:p>
      </xdr:txBody>
    </xdr:sp>
    <xdr:clientData/>
  </xdr:twoCellAnchor>
  <xdr:twoCellAnchor>
    <xdr:from>
      <xdr:col>4</xdr:col>
      <xdr:colOff>85725</xdr:colOff>
      <xdr:row>23</xdr:row>
      <xdr:rowOff>38100</xdr:rowOff>
    </xdr:from>
    <xdr:to>
      <xdr:col>4</xdr:col>
      <xdr:colOff>95250</xdr:colOff>
      <xdr:row>26</xdr:row>
      <xdr:rowOff>152400</xdr:rowOff>
    </xdr:to>
    <xdr:sp>
      <xdr:nvSpPr>
        <xdr:cNvPr id="15" name="Line 37"/>
        <xdr:cNvSpPr>
          <a:spLocks/>
        </xdr:cNvSpPr>
      </xdr:nvSpPr>
      <xdr:spPr>
        <a:xfrm flipH="1">
          <a:off x="4905375" y="4505325"/>
          <a:ext cx="9525" cy="714375"/>
        </a:xfrm>
        <a:prstGeom prst="line">
          <a:avLst/>
        </a:prstGeom>
        <a:noFill/>
        <a:ln w="2857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23</xdr:row>
      <xdr:rowOff>95250</xdr:rowOff>
    </xdr:from>
    <xdr:to>
      <xdr:col>4</xdr:col>
      <xdr:colOff>209550</xdr:colOff>
      <xdr:row>23</xdr:row>
      <xdr:rowOff>95250</xdr:rowOff>
    </xdr:to>
    <xdr:sp>
      <xdr:nvSpPr>
        <xdr:cNvPr id="16" name="Line 38"/>
        <xdr:cNvSpPr>
          <a:spLocks/>
        </xdr:cNvSpPr>
      </xdr:nvSpPr>
      <xdr:spPr>
        <a:xfrm>
          <a:off x="4914900" y="4562475"/>
          <a:ext cx="114300"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24</xdr:row>
      <xdr:rowOff>104775</xdr:rowOff>
    </xdr:from>
    <xdr:to>
      <xdr:col>4</xdr:col>
      <xdr:colOff>200025</xdr:colOff>
      <xdr:row>24</xdr:row>
      <xdr:rowOff>104775</xdr:rowOff>
    </xdr:to>
    <xdr:sp>
      <xdr:nvSpPr>
        <xdr:cNvPr id="17" name="Line 39"/>
        <xdr:cNvSpPr>
          <a:spLocks/>
        </xdr:cNvSpPr>
      </xdr:nvSpPr>
      <xdr:spPr>
        <a:xfrm>
          <a:off x="4914900" y="4772025"/>
          <a:ext cx="104775"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25</xdr:row>
      <xdr:rowOff>95250</xdr:rowOff>
    </xdr:from>
    <xdr:to>
      <xdr:col>4</xdr:col>
      <xdr:colOff>219075</xdr:colOff>
      <xdr:row>25</xdr:row>
      <xdr:rowOff>104775</xdr:rowOff>
    </xdr:to>
    <xdr:sp>
      <xdr:nvSpPr>
        <xdr:cNvPr id="18" name="Line 40"/>
        <xdr:cNvSpPr>
          <a:spLocks/>
        </xdr:cNvSpPr>
      </xdr:nvSpPr>
      <xdr:spPr>
        <a:xfrm flipV="1">
          <a:off x="4905375" y="4962525"/>
          <a:ext cx="133350" cy="9525"/>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23</xdr:row>
      <xdr:rowOff>95250</xdr:rowOff>
    </xdr:from>
    <xdr:to>
      <xdr:col>3</xdr:col>
      <xdr:colOff>9525</xdr:colOff>
      <xdr:row>24</xdr:row>
      <xdr:rowOff>0</xdr:rowOff>
    </xdr:to>
    <xdr:sp>
      <xdr:nvSpPr>
        <xdr:cNvPr id="19" name="Line 41"/>
        <xdr:cNvSpPr>
          <a:spLocks/>
        </xdr:cNvSpPr>
      </xdr:nvSpPr>
      <xdr:spPr>
        <a:xfrm flipV="1">
          <a:off x="2152650" y="4562475"/>
          <a:ext cx="209550" cy="104775"/>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6</xdr:row>
      <xdr:rowOff>57150</xdr:rowOff>
    </xdr:from>
    <xdr:to>
      <xdr:col>12</xdr:col>
      <xdr:colOff>114300</xdr:colOff>
      <xdr:row>14</xdr:row>
      <xdr:rowOff>38100</xdr:rowOff>
    </xdr:to>
    <xdr:sp>
      <xdr:nvSpPr>
        <xdr:cNvPr id="1" name="Rectangle 1"/>
        <xdr:cNvSpPr>
          <a:spLocks/>
        </xdr:cNvSpPr>
      </xdr:nvSpPr>
      <xdr:spPr>
        <a:xfrm>
          <a:off x="8010525" y="1171575"/>
          <a:ext cx="2114550" cy="1476375"/>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Les bas salaires bénéficient d'une réduction de charges sociales dégressive. Au-delà de 2200 € le taux de cotisations reste stable à 39,50%. Il augmente de nouveau poyr les cadres.</a:t>
          </a:r>
        </a:p>
      </xdr:txBody>
    </xdr:sp>
    <xdr:clientData/>
  </xdr:twoCellAnchor>
  <xdr:twoCellAnchor>
    <xdr:from>
      <xdr:col>9</xdr:col>
      <xdr:colOff>9525</xdr:colOff>
      <xdr:row>9</xdr:row>
      <xdr:rowOff>152400</xdr:rowOff>
    </xdr:from>
    <xdr:to>
      <xdr:col>9</xdr:col>
      <xdr:colOff>285750</xdr:colOff>
      <xdr:row>10</xdr:row>
      <xdr:rowOff>0</xdr:rowOff>
    </xdr:to>
    <xdr:sp>
      <xdr:nvSpPr>
        <xdr:cNvPr id="2" name="Line 2"/>
        <xdr:cNvSpPr>
          <a:spLocks/>
        </xdr:cNvSpPr>
      </xdr:nvSpPr>
      <xdr:spPr>
        <a:xfrm flipH="1">
          <a:off x="7734300" y="1809750"/>
          <a:ext cx="276225" cy="38100"/>
        </a:xfrm>
        <a:prstGeom prst="line">
          <a:avLst/>
        </a:prstGeom>
        <a:noFill/>
        <a:ln w="28575"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17</xdr:row>
      <xdr:rowOff>123825</xdr:rowOff>
    </xdr:from>
    <xdr:to>
      <xdr:col>6</xdr:col>
      <xdr:colOff>0</xdr:colOff>
      <xdr:row>20</xdr:row>
      <xdr:rowOff>114300</xdr:rowOff>
    </xdr:to>
    <xdr:sp>
      <xdr:nvSpPr>
        <xdr:cNvPr id="3" name="Rectangle 3"/>
        <xdr:cNvSpPr>
          <a:spLocks/>
        </xdr:cNvSpPr>
      </xdr:nvSpPr>
      <xdr:spPr>
        <a:xfrm>
          <a:off x="285750" y="3314700"/>
          <a:ext cx="5295900" cy="476250"/>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Il est très important de vérifier la productivité de l'effectif. En restauration, elle se situe entre 30 € (formules rapides) et 60 € (restauration traditionnelle)</a:t>
          </a:r>
        </a:p>
      </xdr:txBody>
    </xdr:sp>
    <xdr:clientData/>
  </xdr:twoCellAnchor>
  <xdr:twoCellAnchor>
    <xdr:from>
      <xdr:col>3</xdr:col>
      <xdr:colOff>28575</xdr:colOff>
      <xdr:row>16</xdr:row>
      <xdr:rowOff>95250</xdr:rowOff>
    </xdr:from>
    <xdr:to>
      <xdr:col>3</xdr:col>
      <xdr:colOff>457200</xdr:colOff>
      <xdr:row>17</xdr:row>
      <xdr:rowOff>104775</xdr:rowOff>
    </xdr:to>
    <xdr:sp>
      <xdr:nvSpPr>
        <xdr:cNvPr id="4" name="Line 4"/>
        <xdr:cNvSpPr>
          <a:spLocks/>
        </xdr:cNvSpPr>
      </xdr:nvSpPr>
      <xdr:spPr>
        <a:xfrm flipH="1" flipV="1">
          <a:off x="3514725" y="3095625"/>
          <a:ext cx="428625" cy="200025"/>
        </a:xfrm>
        <a:prstGeom prst="line">
          <a:avLst/>
        </a:prstGeom>
        <a:noFill/>
        <a:ln w="28575"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1733550</xdr:colOff>
      <xdr:row>46</xdr:row>
      <xdr:rowOff>9525</xdr:rowOff>
    </xdr:from>
    <xdr:to>
      <xdr:col>5</xdr:col>
      <xdr:colOff>9525</xdr:colOff>
      <xdr:row>48</xdr:row>
      <xdr:rowOff>38100</xdr:rowOff>
    </xdr:to>
    <xdr:sp>
      <xdr:nvSpPr>
        <xdr:cNvPr id="5" name="Rectangle 5"/>
        <xdr:cNvSpPr>
          <a:spLocks/>
        </xdr:cNvSpPr>
      </xdr:nvSpPr>
      <xdr:spPr>
        <a:xfrm>
          <a:off x="2019300" y="8572500"/>
          <a:ext cx="2895600" cy="352425"/>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Il s'agit principalement de la taxe professionnelle</a:t>
          </a:r>
        </a:p>
      </xdr:txBody>
    </xdr:sp>
    <xdr:clientData/>
  </xdr:twoCellAnchor>
  <xdr:twoCellAnchor>
    <xdr:from>
      <xdr:col>2</xdr:col>
      <xdr:colOff>571500</xdr:colOff>
      <xdr:row>45</xdr:row>
      <xdr:rowOff>19050</xdr:rowOff>
    </xdr:from>
    <xdr:to>
      <xdr:col>2</xdr:col>
      <xdr:colOff>571500</xdr:colOff>
      <xdr:row>45</xdr:row>
      <xdr:rowOff>142875</xdr:rowOff>
    </xdr:to>
    <xdr:sp>
      <xdr:nvSpPr>
        <xdr:cNvPr id="6" name="Line 6"/>
        <xdr:cNvSpPr>
          <a:spLocks/>
        </xdr:cNvSpPr>
      </xdr:nvSpPr>
      <xdr:spPr>
        <a:xfrm flipV="1">
          <a:off x="3286125" y="8420100"/>
          <a:ext cx="0" cy="123825"/>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85725</xdr:rowOff>
    </xdr:from>
    <xdr:to>
      <xdr:col>8</xdr:col>
      <xdr:colOff>600075</xdr:colOff>
      <xdr:row>19</xdr:row>
      <xdr:rowOff>114300</xdr:rowOff>
    </xdr:to>
    <xdr:sp>
      <xdr:nvSpPr>
        <xdr:cNvPr id="1" name="Rectangle 6"/>
        <xdr:cNvSpPr>
          <a:spLocks/>
        </xdr:cNvSpPr>
      </xdr:nvSpPr>
      <xdr:spPr>
        <a:xfrm>
          <a:off x="5895975" y="638175"/>
          <a:ext cx="2886075" cy="3095625"/>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Dernière étape du business plan financier, le plan de financement se réalise automatiquement à partir du montage financier, des comptes de résultat prévisionnels et des prévisions de besoin en fonds de roulement. Il fournit une synthèse des ressources et emplois qui déterminent le niveau de trésorerie
En cours d'exploitation, lorsque l'entreprise ne réalise pas d'investissements importants, le Cash Flow représente la principale voire la seule ressource. Il doit être suffisant pour faire face aux remboursements d'emprunts. Ce mécanisme est bien visible pour les années 2 et 3.</a:t>
          </a:r>
        </a:p>
      </xdr:txBody>
    </xdr:sp>
    <xdr:clientData/>
  </xdr:twoCellAnchor>
  <xdr:twoCellAnchor>
    <xdr:from>
      <xdr:col>1</xdr:col>
      <xdr:colOff>133350</xdr:colOff>
      <xdr:row>29</xdr:row>
      <xdr:rowOff>19050</xdr:rowOff>
    </xdr:from>
    <xdr:to>
      <xdr:col>5</xdr:col>
      <xdr:colOff>114300</xdr:colOff>
      <xdr:row>32</xdr:row>
      <xdr:rowOff>133350</xdr:rowOff>
    </xdr:to>
    <xdr:sp>
      <xdr:nvSpPr>
        <xdr:cNvPr id="2" name="AutoShape 8"/>
        <xdr:cNvSpPr>
          <a:spLocks/>
        </xdr:cNvSpPr>
      </xdr:nvSpPr>
      <xdr:spPr>
        <a:xfrm>
          <a:off x="361950" y="5524500"/>
          <a:ext cx="5419725" cy="657225"/>
        </a:xfrm>
        <a:prstGeom prst="downArrow">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Les durées prévues et les taux de TVA permettent le calcul du besoin en fonds de roulement</a:t>
          </a:r>
        </a:p>
      </xdr:txBody>
    </xdr:sp>
    <xdr:clientData/>
  </xdr:twoCellAnchor>
  <xdr:twoCellAnchor>
    <xdr:from>
      <xdr:col>6</xdr:col>
      <xdr:colOff>28575</xdr:colOff>
      <xdr:row>22</xdr:row>
      <xdr:rowOff>114300</xdr:rowOff>
    </xdr:from>
    <xdr:to>
      <xdr:col>8</xdr:col>
      <xdr:colOff>619125</xdr:colOff>
      <xdr:row>38</xdr:row>
      <xdr:rowOff>180975</xdr:rowOff>
    </xdr:to>
    <xdr:sp>
      <xdr:nvSpPr>
        <xdr:cNvPr id="3" name="Rectangle 9"/>
        <xdr:cNvSpPr>
          <a:spLocks/>
        </xdr:cNvSpPr>
      </xdr:nvSpPr>
      <xdr:spPr>
        <a:xfrm>
          <a:off x="5972175" y="4305300"/>
          <a:ext cx="2828925" cy="3038475"/>
        </a:xfrm>
        <a:prstGeom prst="roundRect">
          <a:avLst/>
        </a:prstGeom>
        <a:solidFill>
          <a:srgbClr val="CC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Détenir un stock, accorder des délais de paiement aux clients "consomment" de la trésorerie.
A l'inverse, le crédit accordé par les fournisseurs "produit" de la trésorerie. La différence entre besoins et ressources peut être positive ou négative : on l'appelle le besoin en fonds  de roulement (BFR).
En restauration le BFR est souvent négligeable ou même négatif.
En hôtellerie, les délais de règlement accordés à certains clients (agences, sociétés, autocaristes...) ont pour conséquence de créer un BFR parfois important qu'il faut prévoir dans le plan de financement.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Z37"/>
  <sheetViews>
    <sheetView showZeros="0" tabSelected="1" workbookViewId="0" topLeftCell="A1">
      <selection activeCell="A1" sqref="A1"/>
    </sheetView>
  </sheetViews>
  <sheetFormatPr defaultColWidth="11.421875" defaultRowHeight="12.75"/>
  <cols>
    <col min="1" max="1" width="4.421875" style="0" customWidth="1"/>
    <col min="2" max="2" width="32.7109375" style="0" customWidth="1"/>
    <col min="4" max="4" width="8.140625" style="0" customWidth="1"/>
    <col min="5" max="5" width="26.140625" style="0" customWidth="1"/>
    <col min="7" max="7" width="27.57421875" style="0" customWidth="1"/>
    <col min="10" max="10" width="12.57421875" style="0" customWidth="1"/>
    <col min="11" max="11" width="14.8515625" style="0" customWidth="1"/>
    <col min="12" max="12" width="13.421875" style="0" customWidth="1"/>
  </cols>
  <sheetData>
    <row r="1" spans="1:7" ht="18.75">
      <c r="A1" s="2"/>
      <c r="B1" s="17"/>
      <c r="C1" s="17"/>
      <c r="D1" s="17"/>
      <c r="E1" s="17"/>
      <c r="F1" s="17"/>
      <c r="G1" s="18"/>
    </row>
    <row r="2" spans="1:7" ht="18.75">
      <c r="A2" s="2"/>
      <c r="G2" s="18"/>
    </row>
    <row r="3" spans="1:26" ht="15">
      <c r="A3" s="2"/>
      <c r="G3" s="1"/>
      <c r="M3" s="2"/>
      <c r="N3" s="2"/>
      <c r="O3" s="2"/>
      <c r="P3" s="2"/>
      <c r="Q3" s="2"/>
      <c r="R3" s="2"/>
      <c r="S3" s="2"/>
      <c r="T3" s="2"/>
      <c r="U3" s="2"/>
      <c r="V3" s="2"/>
      <c r="W3" s="2"/>
      <c r="X3" s="2"/>
      <c r="Y3" s="2"/>
      <c r="Z3" s="2"/>
    </row>
    <row r="4" spans="1:26" ht="15">
      <c r="A4" s="2"/>
      <c r="M4" s="2"/>
      <c r="N4" s="2"/>
      <c r="O4" s="2"/>
      <c r="P4" s="2"/>
      <c r="Q4" s="2"/>
      <c r="R4" s="2"/>
      <c r="S4" s="2"/>
      <c r="T4" s="2"/>
      <c r="U4" s="2"/>
      <c r="V4" s="2"/>
      <c r="W4" s="2"/>
      <c r="X4" s="2"/>
      <c r="Y4" s="2"/>
      <c r="Z4" s="2"/>
    </row>
    <row r="5" spans="1:26" ht="15">
      <c r="A5" s="2"/>
      <c r="M5" s="2"/>
      <c r="N5" s="2"/>
      <c r="O5" s="2"/>
      <c r="P5" s="2"/>
      <c r="Q5" s="2"/>
      <c r="R5" s="2"/>
      <c r="S5" s="2"/>
      <c r="T5" s="2"/>
      <c r="U5" s="2"/>
      <c r="V5" s="2"/>
      <c r="W5" s="2"/>
      <c r="X5" s="2"/>
      <c r="Y5" s="2"/>
      <c r="Z5" s="2"/>
    </row>
    <row r="6" spans="1:26" ht="15">
      <c r="A6" s="2"/>
      <c r="M6" s="2"/>
      <c r="N6" s="2"/>
      <c r="O6" s="2"/>
      <c r="P6" s="2"/>
      <c r="Q6" s="2"/>
      <c r="R6" s="2"/>
      <c r="S6" s="2"/>
      <c r="T6" s="2"/>
      <c r="U6" s="2"/>
      <c r="V6" s="2"/>
      <c r="W6" s="2"/>
      <c r="X6" s="2"/>
      <c r="Y6" s="2"/>
      <c r="Z6" s="2"/>
    </row>
    <row r="7" spans="1:26" ht="15">
      <c r="A7" s="2"/>
      <c r="M7" s="2"/>
      <c r="N7" s="2"/>
      <c r="O7" s="2"/>
      <c r="P7" s="2"/>
      <c r="Q7" s="2"/>
      <c r="R7" s="2"/>
      <c r="S7" s="2"/>
      <c r="T7" s="2"/>
      <c r="U7" s="2"/>
      <c r="V7" s="2"/>
      <c r="W7" s="2"/>
      <c r="X7" s="2"/>
      <c r="Y7" s="2"/>
      <c r="Z7" s="2"/>
    </row>
    <row r="8" spans="1:26" ht="15">
      <c r="A8" s="2"/>
      <c r="M8" s="2"/>
      <c r="N8" s="2"/>
      <c r="O8" s="2"/>
      <c r="P8" s="2"/>
      <c r="Q8" s="2"/>
      <c r="R8" s="2"/>
      <c r="S8" s="2"/>
      <c r="T8" s="2"/>
      <c r="U8" s="2"/>
      <c r="V8" s="2"/>
      <c r="W8" s="2"/>
      <c r="X8" s="2"/>
      <c r="Y8" s="2"/>
      <c r="Z8" s="2"/>
    </row>
    <row r="9" spans="1:26" ht="15">
      <c r="A9" s="2"/>
      <c r="M9" s="2"/>
      <c r="N9" s="2"/>
      <c r="O9" s="2"/>
      <c r="P9" s="2"/>
      <c r="Q9" s="2"/>
      <c r="R9" s="2"/>
      <c r="S9" s="2"/>
      <c r="T9" s="2"/>
      <c r="U9" s="2"/>
      <c r="V9" s="2"/>
      <c r="W9" s="2"/>
      <c r="X9" s="2"/>
      <c r="Y9" s="2"/>
      <c r="Z9" s="2"/>
    </row>
    <row r="10" spans="1:26" ht="15">
      <c r="A10" s="2"/>
      <c r="M10" s="2"/>
      <c r="N10" s="2"/>
      <c r="O10" s="2"/>
      <c r="P10" s="2"/>
      <c r="Q10" s="2"/>
      <c r="R10" s="2"/>
      <c r="S10" s="2"/>
      <c r="T10" s="2"/>
      <c r="U10" s="2"/>
      <c r="V10" s="2"/>
      <c r="W10" s="2"/>
      <c r="X10" s="2"/>
      <c r="Y10" s="2"/>
      <c r="Z10" s="2"/>
    </row>
    <row r="11" spans="1:26" ht="15">
      <c r="A11" s="2"/>
      <c r="M11" s="2"/>
      <c r="N11" s="2"/>
      <c r="O11" s="2"/>
      <c r="P11" s="2"/>
      <c r="Q11" s="2"/>
      <c r="R11" s="2"/>
      <c r="S11" s="2"/>
      <c r="T11" s="2"/>
      <c r="U11" s="2"/>
      <c r="V11" s="2"/>
      <c r="W11" s="2"/>
      <c r="X11" s="2"/>
      <c r="Y11" s="2"/>
      <c r="Z11" s="2"/>
    </row>
    <row r="12" spans="1:26" ht="15">
      <c r="A12" s="2"/>
      <c r="M12" s="2"/>
      <c r="N12" s="2"/>
      <c r="O12" s="2"/>
      <c r="P12" s="2"/>
      <c r="Q12" s="2"/>
      <c r="R12" s="2"/>
      <c r="S12" s="2"/>
      <c r="T12" s="2"/>
      <c r="U12" s="2"/>
      <c r="V12" s="2"/>
      <c r="W12" s="2"/>
      <c r="X12" s="2"/>
      <c r="Y12" s="2"/>
      <c r="Z12" s="2"/>
    </row>
    <row r="13" spans="1:26" ht="15">
      <c r="A13" s="2"/>
      <c r="I13" s="119"/>
      <c r="M13" s="2"/>
      <c r="N13" s="2"/>
      <c r="O13" s="2"/>
      <c r="P13" s="2"/>
      <c r="Q13" s="2"/>
      <c r="R13" s="2"/>
      <c r="S13" s="2"/>
      <c r="T13" s="2"/>
      <c r="U13" s="2"/>
      <c r="V13" s="2"/>
      <c r="W13" s="2"/>
      <c r="X13" s="2"/>
      <c r="Y13" s="2"/>
      <c r="Z13" s="2"/>
    </row>
    <row r="14" spans="1:26" ht="15">
      <c r="A14" s="2"/>
      <c r="M14" s="2"/>
      <c r="N14" s="2"/>
      <c r="O14" s="2"/>
      <c r="P14" s="2"/>
      <c r="Q14" s="2"/>
      <c r="R14" s="2"/>
      <c r="S14" s="2"/>
      <c r="T14" s="2"/>
      <c r="U14" s="2"/>
      <c r="V14" s="2"/>
      <c r="W14" s="2"/>
      <c r="X14" s="2"/>
      <c r="Y14" s="2"/>
      <c r="Z14" s="2"/>
    </row>
    <row r="15" spans="1:26" ht="18">
      <c r="A15" s="2"/>
      <c r="H15" s="124" t="s">
        <v>93</v>
      </c>
      <c r="I15" s="46"/>
      <c r="J15" s="46"/>
      <c r="K15" s="46"/>
      <c r="L15" s="46"/>
      <c r="M15" s="2"/>
      <c r="N15" s="2"/>
      <c r="O15" s="2"/>
      <c r="P15" s="2"/>
      <c r="Q15" s="2"/>
      <c r="R15" s="2"/>
      <c r="S15" s="2"/>
      <c r="T15" s="2"/>
      <c r="U15" s="2"/>
      <c r="V15" s="2"/>
      <c r="W15" s="2"/>
      <c r="X15" s="2"/>
      <c r="Y15" s="2"/>
      <c r="Z15" s="2"/>
    </row>
    <row r="16" spans="1:26" ht="15">
      <c r="A16" s="2"/>
      <c r="H16" s="2"/>
      <c r="I16" s="2"/>
      <c r="J16" s="2"/>
      <c r="K16" s="2"/>
      <c r="L16" s="2"/>
      <c r="M16" s="2"/>
      <c r="N16" s="2"/>
      <c r="O16" s="2"/>
      <c r="P16" s="2"/>
      <c r="Q16" s="2"/>
      <c r="R16" s="2"/>
      <c r="S16" s="2"/>
      <c r="T16" s="2"/>
      <c r="U16" s="2"/>
      <c r="V16" s="2"/>
      <c r="W16" s="2"/>
      <c r="X16" s="2"/>
      <c r="Y16" s="2"/>
      <c r="Z16" s="2"/>
    </row>
    <row r="17" spans="1:12" ht="15.75">
      <c r="A17" s="2"/>
      <c r="H17" s="122" t="s">
        <v>102</v>
      </c>
      <c r="I17" s="2"/>
      <c r="J17" s="2"/>
      <c r="K17" s="2"/>
      <c r="L17" s="2"/>
    </row>
    <row r="18" spans="1:12" ht="18">
      <c r="A18" s="2"/>
      <c r="B18" s="116" t="s">
        <v>0</v>
      </c>
      <c r="C18" s="117"/>
      <c r="D18" s="118"/>
      <c r="E18" s="3"/>
      <c r="F18" s="3"/>
      <c r="H18" s="20" t="s">
        <v>86</v>
      </c>
      <c r="I18" s="82">
        <f>F29</f>
        <v>410000</v>
      </c>
      <c r="J18" s="20" t="s">
        <v>87</v>
      </c>
      <c r="K18" s="84">
        <v>7</v>
      </c>
      <c r="L18" s="2"/>
    </row>
    <row r="19" spans="2:12" s="16" customFormat="1" ht="18">
      <c r="B19" s="4"/>
      <c r="C19" s="4"/>
      <c r="D19" s="4"/>
      <c r="E19" s="4"/>
      <c r="F19" s="4"/>
      <c r="H19" s="7" t="s">
        <v>92</v>
      </c>
      <c r="I19" s="83">
        <v>0.06</v>
      </c>
      <c r="J19" s="120" t="s">
        <v>101</v>
      </c>
      <c r="K19" s="121"/>
      <c r="L19" s="2"/>
    </row>
    <row r="20" spans="2:12" ht="15.75">
      <c r="B20" s="13" t="s">
        <v>1</v>
      </c>
      <c r="C20" s="13"/>
      <c r="D20" s="50" t="s">
        <v>4</v>
      </c>
      <c r="E20" s="14" t="s">
        <v>2</v>
      </c>
      <c r="F20" s="15"/>
      <c r="H20" s="21"/>
      <c r="I20" s="55"/>
      <c r="J20" s="21"/>
      <c r="K20" s="56"/>
      <c r="L20" s="2"/>
    </row>
    <row r="21" spans="2:12" ht="15.75">
      <c r="B21" s="5" t="s">
        <v>3</v>
      </c>
      <c r="C21" s="130"/>
      <c r="D21" s="51" t="s">
        <v>5</v>
      </c>
      <c r="E21" s="6" t="s">
        <v>13</v>
      </c>
      <c r="F21" s="11"/>
      <c r="H21" s="39" t="s">
        <v>88</v>
      </c>
      <c r="I21" s="67" t="s">
        <v>89</v>
      </c>
      <c r="J21" s="58" t="s">
        <v>99</v>
      </c>
      <c r="K21" s="49" t="s">
        <v>90</v>
      </c>
      <c r="L21" s="59" t="s">
        <v>91</v>
      </c>
    </row>
    <row r="22" spans="2:12" ht="15">
      <c r="B22" s="7" t="s">
        <v>6</v>
      </c>
      <c r="C22" s="131"/>
      <c r="D22" s="80"/>
      <c r="E22" s="4" t="s">
        <v>14</v>
      </c>
      <c r="F22" s="131">
        <v>150000</v>
      </c>
      <c r="H22" s="60">
        <v>1</v>
      </c>
      <c r="I22" s="61">
        <f>-PMT($I$19,$K$18,$I$18)</f>
        <v>73445.35740419438</v>
      </c>
      <c r="J22" s="54">
        <f>I18*I19</f>
        <v>24600</v>
      </c>
      <c r="K22" s="61">
        <f>I22-J22</f>
        <v>48845.35740419438</v>
      </c>
      <c r="L22" s="61">
        <f>I18-K22</f>
        <v>361154.64259580564</v>
      </c>
    </row>
    <row r="23" spans="2:12" ht="15">
      <c r="B23" s="7" t="s">
        <v>76</v>
      </c>
      <c r="C23" s="131"/>
      <c r="D23" s="81"/>
      <c r="E23" s="4" t="s">
        <v>15</v>
      </c>
      <c r="F23" s="131">
        <v>250000</v>
      </c>
      <c r="H23" s="64">
        <v>2</v>
      </c>
      <c r="I23" s="63">
        <f>-PMT($I$19,$K$18,$I$18)</f>
        <v>73445.35740419438</v>
      </c>
      <c r="J23" s="62">
        <f>L22*$I$19</f>
        <v>21669.278555748337</v>
      </c>
      <c r="K23" s="63">
        <f>I23-J23</f>
        <v>51776.07884844604</v>
      </c>
      <c r="L23" s="63">
        <f>L22-K23</f>
        <v>309378.5637473596</v>
      </c>
    </row>
    <row r="24" spans="2:12" ht="15">
      <c r="B24" s="7" t="s">
        <v>7</v>
      </c>
      <c r="C24" s="131">
        <v>30000</v>
      </c>
      <c r="D24" s="80"/>
      <c r="E24" s="4" t="s">
        <v>16</v>
      </c>
      <c r="F24" s="131"/>
      <c r="H24" s="65">
        <v>3</v>
      </c>
      <c r="I24" s="66">
        <f>-PMT($I$19,$K$18,$I$18)</f>
        <v>73445.35740419438</v>
      </c>
      <c r="J24" s="69">
        <f>L23*$I$19</f>
        <v>18562.713824841576</v>
      </c>
      <c r="K24" s="66">
        <f>I24-J24</f>
        <v>54882.64357935281</v>
      </c>
      <c r="L24" s="66">
        <f>L23-K24</f>
        <v>254495.9201680068</v>
      </c>
    </row>
    <row r="25" spans="2:12" ht="15">
      <c r="B25" s="7" t="s">
        <v>8</v>
      </c>
      <c r="C25" s="131">
        <v>450000</v>
      </c>
      <c r="D25" s="80"/>
      <c r="E25" s="4" t="s">
        <v>10</v>
      </c>
      <c r="F25" s="131"/>
      <c r="H25" s="68"/>
      <c r="I25" s="62"/>
      <c r="J25" s="62"/>
      <c r="K25" s="62"/>
      <c r="L25" s="62"/>
    </row>
    <row r="26" spans="2:12" ht="15.75">
      <c r="B26" s="7" t="s">
        <v>9</v>
      </c>
      <c r="C26" s="131">
        <v>300000</v>
      </c>
      <c r="D26" s="80"/>
      <c r="E26" s="4" t="s">
        <v>10</v>
      </c>
      <c r="F26" s="131"/>
      <c r="H26" s="123" t="s">
        <v>34</v>
      </c>
      <c r="I26" s="46"/>
      <c r="J26" s="46"/>
      <c r="K26" s="62"/>
      <c r="L26" s="62"/>
    </row>
    <row r="27" spans="2:12" ht="15">
      <c r="B27" s="7" t="s">
        <v>10</v>
      </c>
      <c r="C27" s="131"/>
      <c r="D27" s="80"/>
      <c r="E27" s="8" t="s">
        <v>11</v>
      </c>
      <c r="F27" s="63">
        <f>SUM(F22:F26)</f>
        <v>400000</v>
      </c>
      <c r="K27" s="4"/>
      <c r="L27" s="4"/>
    </row>
    <row r="28" spans="2:12" ht="15.75">
      <c r="B28" s="7" t="s">
        <v>10</v>
      </c>
      <c r="C28" s="131"/>
      <c r="D28" s="80"/>
      <c r="E28" s="6" t="s">
        <v>17</v>
      </c>
      <c r="F28" s="63"/>
      <c r="H28" s="57" t="s">
        <v>94</v>
      </c>
      <c r="I28" s="57" t="s">
        <v>4</v>
      </c>
      <c r="J28" s="57" t="s">
        <v>95</v>
      </c>
      <c r="K28" s="99"/>
      <c r="L28" s="4"/>
    </row>
    <row r="29" spans="2:12" ht="15">
      <c r="B29" s="7" t="s">
        <v>10</v>
      </c>
      <c r="C29" s="131"/>
      <c r="D29" s="80"/>
      <c r="E29" s="4" t="s">
        <v>18</v>
      </c>
      <c r="F29" s="131">
        <v>410000</v>
      </c>
      <c r="H29" s="133">
        <v>30000</v>
      </c>
      <c r="I29" s="92">
        <v>5</v>
      </c>
      <c r="J29" s="133">
        <f>ROUND(H29/I29,0)</f>
        <v>6000</v>
      </c>
      <c r="K29" s="99"/>
      <c r="L29" s="4"/>
    </row>
    <row r="30" spans="2:12" ht="15">
      <c r="B30" s="9" t="s">
        <v>11</v>
      </c>
      <c r="C30" s="63">
        <f>SUM(C22:C29)</f>
        <v>780000</v>
      </c>
      <c r="D30" s="34"/>
      <c r="E30" s="4" t="s">
        <v>75</v>
      </c>
      <c r="F30" s="131"/>
      <c r="H30" s="131">
        <v>450000</v>
      </c>
      <c r="I30" s="92">
        <v>10</v>
      </c>
      <c r="J30" s="131">
        <f>ROUND(H30/I30,0)</f>
        <v>45000</v>
      </c>
      <c r="K30" s="4"/>
      <c r="L30" s="4"/>
    </row>
    <row r="31" spans="2:12" ht="15.75">
      <c r="B31" s="5" t="s">
        <v>12</v>
      </c>
      <c r="C31" s="63">
        <f>F27+F32-C30</f>
        <v>30000</v>
      </c>
      <c r="D31" s="34"/>
      <c r="E31" s="4" t="s">
        <v>10</v>
      </c>
      <c r="F31" s="131"/>
      <c r="H31" s="131">
        <v>300000</v>
      </c>
      <c r="I31" s="92">
        <v>5</v>
      </c>
      <c r="J31" s="131">
        <f>ROUND(H31/I31,0)</f>
        <v>60000</v>
      </c>
      <c r="K31" s="100"/>
      <c r="L31" s="68"/>
    </row>
    <row r="32" spans="2:12" ht="15">
      <c r="B32" s="7"/>
      <c r="C32" s="63"/>
      <c r="D32" s="34"/>
      <c r="E32" s="8" t="s">
        <v>11</v>
      </c>
      <c r="F32" s="63">
        <f>SUM(F29:F31)</f>
        <v>410000</v>
      </c>
      <c r="H32" s="134"/>
      <c r="I32" s="92"/>
      <c r="J32" s="134"/>
      <c r="K32" s="62"/>
      <c r="L32" s="62"/>
    </row>
    <row r="33" spans="2:12" ht="15">
      <c r="B33" s="40" t="s">
        <v>20</v>
      </c>
      <c r="C33" s="132">
        <f>C30+C31</f>
        <v>810000</v>
      </c>
      <c r="D33" s="52"/>
      <c r="E33" s="53" t="s">
        <v>19</v>
      </c>
      <c r="F33" s="132">
        <f>F32+F27</f>
        <v>810000</v>
      </c>
      <c r="I33" s="48" t="s">
        <v>11</v>
      </c>
      <c r="J33" s="166">
        <f>SUM(J29:J32)</f>
        <v>111000</v>
      </c>
      <c r="K33" s="62"/>
      <c r="L33" s="62"/>
    </row>
    <row r="35" spans="8:10" ht="15.75">
      <c r="H35" s="123" t="s">
        <v>31</v>
      </c>
      <c r="I35" s="46"/>
      <c r="J35" s="46"/>
    </row>
    <row r="37" spans="8:10" ht="15">
      <c r="H37" s="2" t="s">
        <v>97</v>
      </c>
      <c r="J37" s="96">
        <v>18000</v>
      </c>
    </row>
  </sheetData>
  <sheetProtection selectLockedCells="1"/>
  <printOptions horizontalCentered="1" verticalCentered="1"/>
  <pageMargins left="0.7874015748031497" right="0.7874015748031497" top="0.984251968503937" bottom="0.984251968503937" header="0.5118110236220472" footer="0.5118110236220472"/>
  <pageSetup fitToHeight="1" fitToWidth="1" orientation="landscape" paperSize="9" scale="77" r:id="rId2"/>
  <headerFooter alignWithMargins="0">
    <oddHeader>&amp;CEtude de faisabilité financière</oddHeader>
    <oddFooter>&amp;L&amp;A&amp;REcole de Savignac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C1:BG240"/>
  <sheetViews>
    <sheetView workbookViewId="0" topLeftCell="A1">
      <selection activeCell="A1" sqref="A1"/>
    </sheetView>
  </sheetViews>
  <sheetFormatPr defaultColWidth="11.421875" defaultRowHeight="12.75"/>
  <cols>
    <col min="3" max="3" width="12.421875" style="0" customWidth="1"/>
    <col min="4" max="4" width="37.00390625" style="0" customWidth="1"/>
    <col min="6" max="6" width="7.28125" style="0" customWidth="1"/>
    <col min="7" max="7" width="12.140625" style="0" bestFit="1" customWidth="1"/>
    <col min="8" max="8" width="7.7109375" style="0" customWidth="1"/>
    <col min="10" max="10" width="7.140625" style="0" customWidth="1"/>
    <col min="11" max="11" width="6.140625" style="0" customWidth="1"/>
    <col min="12" max="12" width="12.00390625" style="0" customWidth="1"/>
  </cols>
  <sheetData>
    <row r="1" spans="3:59" ht="15">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3:59" ht="18">
      <c r="C2" s="2"/>
      <c r="D2" s="116" t="s">
        <v>21</v>
      </c>
      <c r="E2" s="10"/>
      <c r="F2" s="10"/>
      <c r="G2" s="10"/>
      <c r="H2" s="10"/>
      <c r="I2" s="10"/>
      <c r="J2" s="10"/>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3:59" ht="15">
      <c r="C3" s="2"/>
      <c r="D3" s="2"/>
      <c r="E3" s="2"/>
      <c r="F3" s="2"/>
      <c r="G3" s="2"/>
      <c r="H3" s="2"/>
      <c r="I3" s="20"/>
      <c r="J3" s="4"/>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3:59" ht="15">
      <c r="C4" s="2"/>
      <c r="D4" s="22"/>
      <c r="E4" s="24" t="s">
        <v>22</v>
      </c>
      <c r="F4" s="25"/>
      <c r="G4" s="26" t="s">
        <v>23</v>
      </c>
      <c r="H4" s="26"/>
      <c r="I4" s="24" t="s">
        <v>24</v>
      </c>
      <c r="J4" s="25"/>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3:59" ht="15.75">
      <c r="C5" s="2"/>
      <c r="D5" s="29" t="s">
        <v>25</v>
      </c>
      <c r="E5" s="127">
        <f>E6*E7*E8</f>
        <v>711360</v>
      </c>
      <c r="F5" s="38">
        <v>1</v>
      </c>
      <c r="G5" s="127">
        <f>G6*G7*G8</f>
        <v>770640</v>
      </c>
      <c r="H5" s="38">
        <v>1</v>
      </c>
      <c r="I5" s="127">
        <f>I6*I7*I8</f>
        <v>811200</v>
      </c>
      <c r="J5" s="38">
        <v>1</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3:59" ht="15">
      <c r="C6" s="2"/>
      <c r="D6" s="27" t="s">
        <v>84</v>
      </c>
      <c r="E6" s="85">
        <f>52*12</f>
        <v>624</v>
      </c>
      <c r="F6" s="31"/>
      <c r="G6" s="87">
        <f>E6</f>
        <v>624</v>
      </c>
      <c r="H6" s="31"/>
      <c r="I6" s="85">
        <f>G6</f>
        <v>624</v>
      </c>
      <c r="J6" s="31"/>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3:59" ht="15">
      <c r="C7" s="2"/>
      <c r="D7" s="27" t="s">
        <v>85</v>
      </c>
      <c r="E7" s="85">
        <v>60</v>
      </c>
      <c r="F7" s="31"/>
      <c r="G7" s="87">
        <v>65</v>
      </c>
      <c r="H7" s="31"/>
      <c r="I7" s="85">
        <v>65</v>
      </c>
      <c r="J7" s="31"/>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3:59" ht="15">
      <c r="C8" s="2"/>
      <c r="D8" s="28" t="s">
        <v>103</v>
      </c>
      <c r="E8" s="86">
        <v>19</v>
      </c>
      <c r="F8" s="32"/>
      <c r="G8" s="88">
        <v>19</v>
      </c>
      <c r="H8" s="32"/>
      <c r="I8" s="86">
        <v>20</v>
      </c>
      <c r="J8" s="3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3:59" ht="15">
      <c r="C9" s="2"/>
      <c r="D9" s="22" t="s">
        <v>26</v>
      </c>
      <c r="E9" s="128">
        <f>E5*F9</f>
        <v>227635.2</v>
      </c>
      <c r="F9" s="89">
        <v>0.32</v>
      </c>
      <c r="G9" s="128">
        <f>G5*H9</f>
        <v>238898.4</v>
      </c>
      <c r="H9" s="90">
        <v>0.31</v>
      </c>
      <c r="I9" s="128">
        <f>I5*J9</f>
        <v>251472</v>
      </c>
      <c r="J9" s="90">
        <v>0.31</v>
      </c>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3:59" ht="15.75">
      <c r="C10" s="2"/>
      <c r="D10" s="30" t="s">
        <v>27</v>
      </c>
      <c r="E10" s="127">
        <f>E5-E9</f>
        <v>483724.8</v>
      </c>
      <c r="F10" s="37">
        <f>E10/$E$5</f>
        <v>0.6799999999999999</v>
      </c>
      <c r="G10" s="127">
        <f>G5-G9</f>
        <v>531741.6</v>
      </c>
      <c r="H10" s="36">
        <f>G10/$G$5</f>
        <v>0.69</v>
      </c>
      <c r="I10" s="127">
        <f>I5-I9</f>
        <v>559728</v>
      </c>
      <c r="J10" s="36">
        <f>I10/$I$5</f>
        <v>0.69</v>
      </c>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3:59" ht="15">
      <c r="C11" s="2"/>
      <c r="D11" s="20" t="s">
        <v>28</v>
      </c>
      <c r="E11" s="61">
        <f>'Détail des prévisions'!D16+'Détail des prévisions'!F16</f>
        <v>235758</v>
      </c>
      <c r="F11" s="129">
        <f>E11/$E$5</f>
        <v>0.3314186909581646</v>
      </c>
      <c r="G11" s="61">
        <f>E11*1.03</f>
        <v>242830.74000000002</v>
      </c>
      <c r="H11" s="41">
        <f>G11/$G$5</f>
        <v>0.31510269386483963</v>
      </c>
      <c r="I11" s="61">
        <f>G11*1.03</f>
        <v>250115.66220000002</v>
      </c>
      <c r="J11" s="41">
        <f>I11/$I$5</f>
        <v>0.3083279859467456</v>
      </c>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3:59" ht="15">
      <c r="C12" s="2"/>
      <c r="D12" s="7" t="s">
        <v>39</v>
      </c>
      <c r="E12" s="63">
        <f>'Détail des prévisions'!C45</f>
        <v>14000</v>
      </c>
      <c r="F12" s="129">
        <f>E12/$E$5</f>
        <v>0.019680611785874942</v>
      </c>
      <c r="G12" s="63">
        <f>'Détail des prévisions'!E45</f>
        <v>17000</v>
      </c>
      <c r="H12" s="41">
        <f>G12/$G$5</f>
        <v>0.022059586836914773</v>
      </c>
      <c r="I12" s="63">
        <f>'Détail des prévisions'!G45</f>
        <v>18000</v>
      </c>
      <c r="J12" s="41">
        <f>I12/$I$5</f>
        <v>0.022189349112426034</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3:59" ht="15">
      <c r="C13" s="2"/>
      <c r="D13" s="21" t="s">
        <v>29</v>
      </c>
      <c r="E13" s="66">
        <f>'Détail des prévisions'!C41</f>
        <v>107854</v>
      </c>
      <c r="F13" s="129">
        <f>E13/$E$5</f>
        <v>0.15161662168241116</v>
      </c>
      <c r="G13" s="66">
        <f>'Détail des prévisions'!E41</f>
        <v>113353</v>
      </c>
      <c r="H13" s="41">
        <f>G13/$G$5</f>
        <v>0.14708943216028236</v>
      </c>
      <c r="I13" s="66">
        <f>'Détail des prévisions'!G41</f>
        <v>117556</v>
      </c>
      <c r="J13" s="41">
        <f>I13/$I$5</f>
        <v>0.14491617357001974</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3:59" ht="15.75">
      <c r="C14" s="2"/>
      <c r="D14" s="30" t="s">
        <v>30</v>
      </c>
      <c r="E14" s="127">
        <f>E10-E11-E12-E13</f>
        <v>126112.79999999999</v>
      </c>
      <c r="F14" s="37">
        <f>E14/$E$5</f>
        <v>0.17728407557354925</v>
      </c>
      <c r="G14" s="127">
        <f>G10-G11-G12-G13</f>
        <v>158557.86</v>
      </c>
      <c r="H14" s="36">
        <f>G14/$G$5</f>
        <v>0.20574828713796323</v>
      </c>
      <c r="I14" s="127">
        <f>I10-I11-I12-I13</f>
        <v>174056.33779999998</v>
      </c>
      <c r="J14" s="36">
        <f>I14/$I$5</f>
        <v>0.21456649137080866</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3:59" ht="15">
      <c r="C15" s="2"/>
      <c r="D15" s="20" t="s">
        <v>31</v>
      </c>
      <c r="E15" s="61">
        <f>'Montage financier'!J37</f>
        <v>18000</v>
      </c>
      <c r="F15" s="70"/>
      <c r="G15" s="61">
        <f>'Montage financier'!J37</f>
        <v>18000</v>
      </c>
      <c r="H15" s="33"/>
      <c r="I15" s="61">
        <f>'Montage financier'!J37</f>
        <v>18000</v>
      </c>
      <c r="J15" s="33"/>
      <c r="K15" s="2"/>
      <c r="L15" s="105"/>
      <c r="M15" s="106"/>
      <c r="N15" s="106"/>
      <c r="O15" s="106"/>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3:59" ht="15">
      <c r="C16" s="2"/>
      <c r="D16" s="7" t="s">
        <v>32</v>
      </c>
      <c r="E16" s="63"/>
      <c r="F16" s="71"/>
      <c r="G16" s="63"/>
      <c r="H16" s="34"/>
      <c r="I16" s="63"/>
      <c r="J16" s="34"/>
      <c r="K16" s="2"/>
      <c r="L16" s="105"/>
      <c r="M16" s="107"/>
      <c r="N16" s="105"/>
      <c r="O16" s="105"/>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3:59" ht="15">
      <c r="C17" s="2"/>
      <c r="D17" s="7" t="s">
        <v>33</v>
      </c>
      <c r="E17" s="63">
        <f>'Montage financier'!J22</f>
        <v>24600</v>
      </c>
      <c r="F17" s="71"/>
      <c r="G17" s="63">
        <f>'Montage financier'!J23</f>
        <v>21669.278555748337</v>
      </c>
      <c r="H17" s="34"/>
      <c r="I17" s="63">
        <f>'Montage financier'!J24</f>
        <v>18562.713824841576</v>
      </c>
      <c r="J17" s="34"/>
      <c r="K17" s="2"/>
      <c r="L17" s="105"/>
      <c r="M17" s="107"/>
      <c r="N17" s="107"/>
      <c r="O17" s="105"/>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3:59" ht="15">
      <c r="C18" s="2"/>
      <c r="D18" s="21" t="s">
        <v>34</v>
      </c>
      <c r="E18" s="66">
        <f>'Montage financier'!J33</f>
        <v>111000</v>
      </c>
      <c r="F18" s="72"/>
      <c r="G18" s="66">
        <f>'Montage financier'!J33</f>
        <v>111000</v>
      </c>
      <c r="H18" s="35"/>
      <c r="I18" s="66">
        <f>'Montage financier'!J33</f>
        <v>111000</v>
      </c>
      <c r="J18" s="35"/>
      <c r="K18" s="2"/>
      <c r="L18" s="105"/>
      <c r="M18" s="107"/>
      <c r="N18" s="105"/>
      <c r="O18" s="107"/>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3:59" ht="15.75">
      <c r="C19" s="2"/>
      <c r="D19" s="30" t="s">
        <v>35</v>
      </c>
      <c r="E19" s="138">
        <f>E14-SUM(E15:E18)</f>
        <v>-27487.20000000001</v>
      </c>
      <c r="F19" s="37">
        <f>E19/$E$5</f>
        <v>-0.038640350877192996</v>
      </c>
      <c r="G19" s="138">
        <f>G14-SUM(G15:G18)</f>
        <v>7888.581444251642</v>
      </c>
      <c r="H19" s="36">
        <f>G19/$G$5</f>
        <v>0.010236402787620214</v>
      </c>
      <c r="I19" s="138">
        <f>I14-SUM(I15:I18)</f>
        <v>26493.623975158407</v>
      </c>
      <c r="J19" s="36">
        <f>I19/$I$5</f>
        <v>0.032659792868785016</v>
      </c>
      <c r="K19" s="2"/>
      <c r="L19" s="105"/>
      <c r="M19" s="108"/>
      <c r="N19" s="105"/>
      <c r="O19" s="108"/>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3:59" ht="15">
      <c r="C20" s="2"/>
      <c r="D20" s="169" t="s">
        <v>132</v>
      </c>
      <c r="E20" s="128">
        <f>IF(E19&gt;0,E19,0)</f>
        <v>0</v>
      </c>
      <c r="F20" s="34"/>
      <c r="G20" s="128">
        <f>E19+G19</f>
        <v>-19598.61855574837</v>
      </c>
      <c r="H20" s="73"/>
      <c r="I20" s="128">
        <f>G20+I19</f>
        <v>6895.005419410038</v>
      </c>
      <c r="J20" s="34"/>
      <c r="K20" s="2"/>
      <c r="L20" s="105"/>
      <c r="M20" s="107"/>
      <c r="N20" s="105"/>
      <c r="O20" s="107"/>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3:59" ht="15">
      <c r="C21" s="2"/>
      <c r="D21" s="7" t="s">
        <v>100</v>
      </c>
      <c r="E21" s="128">
        <f>IF(E20&gt;0,E20*15%,0)</f>
        <v>0</v>
      </c>
      <c r="F21" s="34"/>
      <c r="G21" s="128">
        <f>IF(G20&gt;0,G20*15%,0)</f>
        <v>0</v>
      </c>
      <c r="H21" s="73"/>
      <c r="I21" s="128">
        <f>IF(I20&gt;0,I20*15%,0)</f>
        <v>1034.2508129115056</v>
      </c>
      <c r="J21" s="34"/>
      <c r="K21" s="2"/>
      <c r="L21" s="105"/>
      <c r="M21" s="107"/>
      <c r="N21" s="105"/>
      <c r="O21" s="107"/>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3:59" ht="15.75">
      <c r="C22" s="2"/>
      <c r="D22" s="30" t="s">
        <v>36</v>
      </c>
      <c r="E22" s="127">
        <f>E19-E21</f>
        <v>-27487.20000000001</v>
      </c>
      <c r="F22" s="37">
        <f>E22/$E$5</f>
        <v>-0.038640350877192996</v>
      </c>
      <c r="G22" s="127">
        <f>G19-G21</f>
        <v>7888.581444251642</v>
      </c>
      <c r="H22" s="36">
        <f>G22/$G$5</f>
        <v>0.010236402787620214</v>
      </c>
      <c r="I22" s="127">
        <f>I19-I21</f>
        <v>25459.373162246902</v>
      </c>
      <c r="J22" s="36">
        <f>I22/$I$5</f>
        <v>0.0313848288489237</v>
      </c>
      <c r="K22" s="2"/>
      <c r="L22" s="109"/>
      <c r="M22" s="110"/>
      <c r="N22" s="105"/>
      <c r="O22" s="105"/>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row>
    <row r="23" spans="3:59" ht="15">
      <c r="C23" s="2"/>
      <c r="D23" s="7" t="s">
        <v>34</v>
      </c>
      <c r="E23" s="128">
        <f>E18</f>
        <v>111000</v>
      </c>
      <c r="F23" s="34"/>
      <c r="G23" s="128">
        <f>G18</f>
        <v>111000</v>
      </c>
      <c r="H23" s="73"/>
      <c r="I23" s="128">
        <f>I18</f>
        <v>111000</v>
      </c>
      <c r="J23" s="34"/>
      <c r="K23" s="2"/>
      <c r="L23" s="105"/>
      <c r="M23" s="106"/>
      <c r="N23" s="107"/>
      <c r="O23" s="107"/>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3:59" ht="15.75">
      <c r="C24" s="2"/>
      <c r="D24" s="30" t="s">
        <v>104</v>
      </c>
      <c r="E24" s="127">
        <f>E22+E23</f>
        <v>83512.79999999999</v>
      </c>
      <c r="F24" s="37">
        <f>E24/$E$5</f>
        <v>0.1173987854251012</v>
      </c>
      <c r="G24" s="127">
        <f>G22+G23</f>
        <v>118888.58144425164</v>
      </c>
      <c r="H24" s="36">
        <f>G24/$G$5</f>
        <v>0.15427252860512256</v>
      </c>
      <c r="I24" s="127">
        <f>I22+I23</f>
        <v>136459.3731622469</v>
      </c>
      <c r="J24" s="36">
        <f>I24/$I$5</f>
        <v>0.1682191483755509</v>
      </c>
      <c r="K24" s="2"/>
      <c r="L24" s="105"/>
      <c r="M24" s="105"/>
      <c r="N24" s="105"/>
      <c r="O24" s="105"/>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3:59" ht="15.75">
      <c r="C25" s="2"/>
      <c r="D25" s="15" t="s">
        <v>83</v>
      </c>
      <c r="E25" s="127">
        <f>'Montage financier'!K22+'Montage financier'!K32</f>
        <v>48845.35740419438</v>
      </c>
      <c r="F25" s="75"/>
      <c r="G25" s="127">
        <f>'Montage financier'!K23+'Montage financier'!K33</f>
        <v>51776.07884844604</v>
      </c>
      <c r="H25" s="76"/>
      <c r="I25" s="127">
        <f>'Montage financier'!K24</f>
        <v>54882.64357935281</v>
      </c>
      <c r="J25" s="77"/>
      <c r="K25" s="2"/>
      <c r="L25" s="105"/>
      <c r="M25" s="107"/>
      <c r="N25" s="111"/>
      <c r="O25" s="111"/>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3:59" ht="15.75">
      <c r="C26" s="2"/>
      <c r="D26" s="74" t="s">
        <v>96</v>
      </c>
      <c r="E26" s="138">
        <f>E24-E25</f>
        <v>34667.44259580561</v>
      </c>
      <c r="F26" s="75"/>
      <c r="G26" s="138">
        <f>G24-G25</f>
        <v>67112.50259580559</v>
      </c>
      <c r="H26" s="76"/>
      <c r="I26" s="138">
        <f>I24-I25</f>
        <v>81576.72958289408</v>
      </c>
      <c r="J26" s="77"/>
      <c r="K26" s="2"/>
      <c r="L26" s="105"/>
      <c r="M26" s="107"/>
      <c r="N26" s="111"/>
      <c r="O26" s="111"/>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3:59" ht="15">
      <c r="C27" s="2"/>
      <c r="D27" s="2" t="s">
        <v>105</v>
      </c>
      <c r="E27" s="2"/>
      <c r="F27" s="2"/>
      <c r="G27" s="2"/>
      <c r="H27" s="2"/>
      <c r="I27" s="2"/>
      <c r="J27" s="2"/>
      <c r="K27" s="2"/>
      <c r="L27" s="105"/>
      <c r="M27" s="107"/>
      <c r="N27" s="111"/>
      <c r="O27" s="111"/>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3:59" ht="15">
      <c r="C28" s="2"/>
      <c r="D28" s="2"/>
      <c r="E28" s="2"/>
      <c r="F28" s="2"/>
      <c r="G28" s="2"/>
      <c r="H28" s="2"/>
      <c r="I28" s="2"/>
      <c r="J28" s="2"/>
      <c r="K28" s="2"/>
      <c r="L28" s="105"/>
      <c r="M28" s="107"/>
      <c r="N28" s="111"/>
      <c r="O28" s="111"/>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3:59" ht="15">
      <c r="C29" s="2"/>
      <c r="D29" s="2"/>
      <c r="E29" s="2"/>
      <c r="F29" s="2"/>
      <c r="G29" s="2"/>
      <c r="H29" s="2"/>
      <c r="I29" s="2"/>
      <c r="J29" s="2"/>
      <c r="K29" s="2"/>
      <c r="L29" s="112"/>
      <c r="M29" s="113"/>
      <c r="N29" s="114"/>
      <c r="O29" s="111"/>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3:59" ht="15">
      <c r="C30" s="2"/>
      <c r="K30" s="2"/>
      <c r="L30" s="105"/>
      <c r="M30" s="107"/>
      <c r="N30" s="111"/>
      <c r="O30" s="111"/>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3:59" ht="15">
      <c r="C31" s="2"/>
      <c r="K31" s="2"/>
      <c r="L31" s="105"/>
      <c r="M31" s="107"/>
      <c r="N31" s="111"/>
      <c r="O31" s="111"/>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3:59" ht="15">
      <c r="C32" s="2"/>
      <c r="K32" s="2"/>
      <c r="L32" s="111"/>
      <c r="M32" s="111"/>
      <c r="N32" s="111"/>
      <c r="O32" s="111"/>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3:59" ht="15">
      <c r="C33" s="2"/>
      <c r="K33" s="2"/>
      <c r="L33" s="115"/>
      <c r="M33" s="113"/>
      <c r="N33" s="111"/>
      <c r="O33" s="111"/>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3:59" ht="15">
      <c r="C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3:59" ht="15">
      <c r="C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3:59" ht="15">
      <c r="C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3:59" ht="15">
      <c r="C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3:59" ht="15">
      <c r="C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3:59" ht="15">
      <c r="C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3:59" ht="15">
      <c r="C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3:59" ht="15">
      <c r="C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3:59" ht="15">
      <c r="C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3:59" ht="15">
      <c r="C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3:59" ht="15">
      <c r="C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3:59" ht="15">
      <c r="C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3:59" ht="15">
      <c r="C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3:59" ht="15">
      <c r="C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3:59" ht="15">
      <c r="C48" s="2"/>
      <c r="K48" s="2"/>
      <c r="L48" s="101"/>
      <c r="M48" s="102"/>
      <c r="N48" s="10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3:59" ht="15">
      <c r="C49" s="2"/>
      <c r="D49" s="2"/>
      <c r="E49" s="2"/>
      <c r="F49" s="2"/>
      <c r="G49" s="2"/>
      <c r="H49" s="2"/>
      <c r="I49" s="2"/>
      <c r="J49" s="2"/>
      <c r="K49" s="2"/>
      <c r="L49" s="103"/>
      <c r="M49" s="104"/>
      <c r="N49" s="104"/>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3:59" ht="15">
      <c r="C50" s="2"/>
      <c r="K50" s="2"/>
      <c r="L50" s="103"/>
      <c r="M50" s="104"/>
      <c r="N50" s="104"/>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3:59" ht="15">
      <c r="C51" s="2"/>
      <c r="K51" s="2"/>
      <c r="L51" s="103"/>
      <c r="M51" s="104"/>
      <c r="N51" s="104"/>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3:59" ht="1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3:59" ht="1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3:59" ht="1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3:59" ht="1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3:59" ht="1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3:59" ht="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3:59" ht="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3:59" ht="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3:59" ht="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3:59" ht="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3:59" ht="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3:59" ht="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3:59" ht="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3:59" ht="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3:59" ht="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3:59" ht="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3:59" ht="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3:59" ht="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row>
    <row r="70" spans="3:59" ht="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row>
    <row r="71" spans="3:59" ht="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3:59" ht="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73" spans="3:59" ht="1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3:59" ht="1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3:59" ht="1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3:59" ht="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3:59" ht="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3:59" ht="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3:59" ht="1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3:59" ht="1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3:59" ht="1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3:59" ht="1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3:59" ht="1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3:59" ht="1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3:59" ht="1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3:59" ht="1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3:59" ht="1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3:59" ht="1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3:59" ht="1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3:59" ht="1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3:59" ht="1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3:59" ht="1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row>
    <row r="197" spans="3:59" ht="1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row>
    <row r="198" spans="3:59" ht="1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row>
    <row r="199" spans="3:59" ht="1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row>
    <row r="200" spans="3:59" ht="1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row>
    <row r="201" spans="3:59" ht="1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row>
    <row r="202" spans="3:59" ht="1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row>
    <row r="203" spans="3:59" ht="1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row>
    <row r="204" spans="3:59" ht="1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row>
    <row r="205" spans="3:59" ht="15">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row>
    <row r="206" spans="3:59" ht="15">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row>
    <row r="207" spans="3:59" ht="15">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row>
    <row r="208" spans="3:59" ht="15">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row>
    <row r="209" spans="3:59" ht="15">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row>
    <row r="210" spans="3:59" ht="15">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row>
    <row r="211" spans="3:59" ht="15">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row>
    <row r="212" spans="3:59" ht="15">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row>
    <row r="213" spans="3:59" ht="15">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row>
    <row r="214" spans="3:59" ht="15">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row>
    <row r="215" spans="3:59" ht="15">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row>
    <row r="216" spans="3:59" ht="15">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row>
    <row r="217" spans="3:59" ht="15">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row>
    <row r="218" spans="3:59" ht="15">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row>
    <row r="219" spans="3:59" ht="15">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row>
    <row r="220" spans="3:59" ht="15">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row>
    <row r="221" spans="3:59" ht="15">
      <c r="C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row>
    <row r="222" spans="3:59" ht="15">
      <c r="C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row>
    <row r="223" spans="3:59" ht="15">
      <c r="C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row>
    <row r="224" spans="3:59" ht="15">
      <c r="C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row>
    <row r="225" spans="3:59" ht="15">
      <c r="C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row>
    <row r="226" spans="3:59" ht="15">
      <c r="C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row>
    <row r="227" spans="3:59" ht="15">
      <c r="C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row>
    <row r="228" spans="3:59" ht="15">
      <c r="C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row>
    <row r="229" spans="3:59" ht="15">
      <c r="C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row>
    <row r="230" spans="3:59" ht="15">
      <c r="C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row>
    <row r="231" spans="3:59" ht="15">
      <c r="C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row>
    <row r="232" spans="3:59" ht="15">
      <c r="C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row>
    <row r="233" spans="3:59" ht="15">
      <c r="C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row>
    <row r="234" spans="3:59" ht="15">
      <c r="C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row>
    <row r="235" spans="3:59" ht="15">
      <c r="C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row>
    <row r="236" spans="3:59" ht="15">
      <c r="C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row>
    <row r="237" spans="3:59" ht="15">
      <c r="C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row>
    <row r="238" spans="3:59" ht="15">
      <c r="C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row>
    <row r="239" spans="3:59" ht="15">
      <c r="C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row>
    <row r="240" spans="3:59" ht="15">
      <c r="C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row>
  </sheetData>
  <printOptions horizontalCentered="1" verticalCentered="1"/>
  <pageMargins left="0.7874015748031497" right="0.7874015748031497" top="0.984251968503937" bottom="0.984251968503937" header="0.5118110236220472" footer="0.5118110236220472"/>
  <pageSetup fitToHeight="1" fitToWidth="1" orientation="portrait" paperSize="9" scale="40" r:id="rId2"/>
  <headerFooter alignWithMargins="0">
    <oddHeader>&amp;C&amp;F</oddHeader>
    <oddFooter>&amp;L&amp;A&amp;C
&amp;REcole de Savignac
</oddFooter>
  </headerFooter>
  <drawing r:id="rId1"/>
</worksheet>
</file>

<file path=xl/worksheets/sheet3.xml><?xml version="1.0" encoding="utf-8"?>
<worksheet xmlns="http://schemas.openxmlformats.org/spreadsheetml/2006/main" xmlns:r="http://schemas.openxmlformats.org/officeDocument/2006/relationships">
  <dimension ref="B2:I45"/>
  <sheetViews>
    <sheetView workbookViewId="0" topLeftCell="A1">
      <selection activeCell="A1" sqref="A1"/>
    </sheetView>
  </sheetViews>
  <sheetFormatPr defaultColWidth="11.421875" defaultRowHeight="12.75"/>
  <cols>
    <col min="1" max="1" width="4.28125" style="0" customWidth="1"/>
    <col min="2" max="2" width="36.421875" style="0" customWidth="1"/>
    <col min="3" max="3" width="11.57421875" style="0" bestFit="1" customWidth="1"/>
    <col min="5" max="5" width="9.8515625" style="0" customWidth="1"/>
    <col min="6" max="6" width="10.140625" style="0" customWidth="1"/>
    <col min="7" max="7" width="9.28125" style="0" customWidth="1"/>
  </cols>
  <sheetData>
    <row r="2" spans="2:6" ht="18">
      <c r="B2" s="125" t="s">
        <v>37</v>
      </c>
      <c r="C2" s="19"/>
      <c r="D2" s="19"/>
      <c r="E2" s="19"/>
      <c r="F2" s="19"/>
    </row>
    <row r="4" spans="2:8" ht="15.75">
      <c r="B4" s="122" t="s">
        <v>110</v>
      </c>
      <c r="H4" s="122" t="s">
        <v>125</v>
      </c>
    </row>
    <row r="5" ht="15.75">
      <c r="B5" s="122"/>
    </row>
    <row r="6" spans="2:9" ht="12.75">
      <c r="B6" s="139" t="s">
        <v>111</v>
      </c>
      <c r="C6" s="141" t="s">
        <v>113</v>
      </c>
      <c r="D6" s="139" t="s">
        <v>116</v>
      </c>
      <c r="E6" s="145" t="s">
        <v>114</v>
      </c>
      <c r="F6" s="144"/>
      <c r="H6" s="141" t="s">
        <v>112</v>
      </c>
      <c r="I6" s="139" t="s">
        <v>122</v>
      </c>
    </row>
    <row r="7" spans="2:9" ht="12.75">
      <c r="B7" s="143"/>
      <c r="C7" s="142" t="s">
        <v>115</v>
      </c>
      <c r="D7" s="140" t="s">
        <v>117</v>
      </c>
      <c r="E7" s="146" t="s">
        <v>118</v>
      </c>
      <c r="F7" s="42" t="s">
        <v>94</v>
      </c>
      <c r="H7" s="142" t="s">
        <v>123</v>
      </c>
      <c r="I7" s="140" t="s">
        <v>114</v>
      </c>
    </row>
    <row r="8" spans="2:9" ht="15">
      <c r="B8" s="147" t="s">
        <v>121</v>
      </c>
      <c r="C8" s="148">
        <v>1833</v>
      </c>
      <c r="D8" s="149">
        <v>31200</v>
      </c>
      <c r="E8" s="150">
        <v>0.395</v>
      </c>
      <c r="F8" s="147">
        <f aca="true" t="shared" si="0" ref="F8:F14">ROUND(D8*E8,0)</f>
        <v>12324</v>
      </c>
      <c r="H8" s="161">
        <v>1350</v>
      </c>
      <c r="I8" s="162">
        <v>0.16</v>
      </c>
    </row>
    <row r="9" spans="2:9" ht="15">
      <c r="B9" s="147" t="s">
        <v>106</v>
      </c>
      <c r="C9" s="148">
        <v>1833</v>
      </c>
      <c r="D9" s="149">
        <v>30000</v>
      </c>
      <c r="E9" s="150">
        <v>0.395</v>
      </c>
      <c r="F9" s="147">
        <f t="shared" si="0"/>
        <v>11850</v>
      </c>
      <c r="H9" s="163">
        <v>1400</v>
      </c>
      <c r="I9" s="164">
        <v>0.18</v>
      </c>
    </row>
    <row r="10" spans="2:9" ht="15">
      <c r="B10" s="147" t="s">
        <v>107</v>
      </c>
      <c r="C10" s="148">
        <v>1833</v>
      </c>
      <c r="D10" s="149">
        <v>24000</v>
      </c>
      <c r="E10" s="151">
        <v>0.36</v>
      </c>
      <c r="F10" s="147">
        <f t="shared" si="0"/>
        <v>8640</v>
      </c>
      <c r="H10" s="163">
        <v>1500</v>
      </c>
      <c r="I10" s="164">
        <v>0.22</v>
      </c>
    </row>
    <row r="11" spans="2:9" ht="15">
      <c r="B11" s="147" t="s">
        <v>108</v>
      </c>
      <c r="C11" s="148">
        <v>1833</v>
      </c>
      <c r="D11" s="149">
        <v>24000</v>
      </c>
      <c r="E11" s="151">
        <v>0.36</v>
      </c>
      <c r="F11" s="147">
        <f t="shared" si="0"/>
        <v>8640</v>
      </c>
      <c r="H11" s="163">
        <v>1600</v>
      </c>
      <c r="I11" s="164">
        <v>0.26</v>
      </c>
    </row>
    <row r="12" spans="2:9" ht="15">
      <c r="B12" s="147" t="s">
        <v>109</v>
      </c>
      <c r="C12" s="148">
        <v>1833</v>
      </c>
      <c r="D12" s="149">
        <v>16800</v>
      </c>
      <c r="E12" s="151">
        <v>0.18</v>
      </c>
      <c r="F12" s="147">
        <f t="shared" si="0"/>
        <v>3024</v>
      </c>
      <c r="H12" s="163">
        <v>1700</v>
      </c>
      <c r="I12" s="164">
        <v>0.29</v>
      </c>
    </row>
    <row r="13" spans="2:9" ht="15">
      <c r="B13" s="147" t="s">
        <v>120</v>
      </c>
      <c r="C13" s="148">
        <v>1833</v>
      </c>
      <c r="D13" s="149">
        <v>24000</v>
      </c>
      <c r="E13" s="151">
        <v>0.36</v>
      </c>
      <c r="F13" s="147">
        <f t="shared" si="0"/>
        <v>8640</v>
      </c>
      <c r="H13" s="163">
        <v>1800</v>
      </c>
      <c r="I13" s="164">
        <v>0.32</v>
      </c>
    </row>
    <row r="14" spans="2:9" ht="15">
      <c r="B14" s="147" t="s">
        <v>119</v>
      </c>
      <c r="C14" s="148">
        <v>1833</v>
      </c>
      <c r="D14" s="149">
        <v>24000</v>
      </c>
      <c r="E14" s="151">
        <v>0.36</v>
      </c>
      <c r="F14" s="147">
        <f t="shared" si="0"/>
        <v>8640</v>
      </c>
      <c r="H14" s="163">
        <v>1900</v>
      </c>
      <c r="I14" s="164">
        <v>0.34</v>
      </c>
    </row>
    <row r="15" spans="2:9" ht="15">
      <c r="B15" s="147"/>
      <c r="C15" s="148"/>
      <c r="D15" s="149"/>
      <c r="E15" s="152"/>
      <c r="F15" s="147"/>
      <c r="H15" s="163">
        <v>2000</v>
      </c>
      <c r="I15" s="164">
        <v>0.36</v>
      </c>
    </row>
    <row r="16" spans="2:9" ht="15.75">
      <c r="B16" s="153" t="s">
        <v>11</v>
      </c>
      <c r="C16" s="154">
        <f>SUM(C8:C15)</f>
        <v>12831</v>
      </c>
      <c r="D16" s="155">
        <f>SUM(D8:D15)</f>
        <v>174000</v>
      </c>
      <c r="E16" s="156"/>
      <c r="F16" s="157">
        <f>SUM(F8:F15)</f>
        <v>61758</v>
      </c>
      <c r="H16" s="163">
        <v>2100</v>
      </c>
      <c r="I16" s="164">
        <v>0.38</v>
      </c>
    </row>
    <row r="17" spans="2:9" ht="15">
      <c r="B17" s="158" t="s">
        <v>124</v>
      </c>
      <c r="C17" s="159">
        <f>'Résultats prévisionnels'!E5/'Détail des prévisions'!C16</f>
        <v>55.440729483282674</v>
      </c>
      <c r="D17" s="160"/>
      <c r="E17" s="160"/>
      <c r="F17" s="160"/>
      <c r="H17" s="163">
        <v>2200</v>
      </c>
      <c r="I17" s="165">
        <v>0.395</v>
      </c>
    </row>
    <row r="23" spans="2:8" ht="15.75">
      <c r="B23" s="122" t="s">
        <v>38</v>
      </c>
      <c r="C23" s="2"/>
      <c r="D23" s="2"/>
      <c r="E23" s="2"/>
      <c r="F23" s="2"/>
      <c r="G23" s="2"/>
      <c r="H23" s="2"/>
    </row>
    <row r="24" spans="2:8" ht="15.75">
      <c r="B24" s="122"/>
      <c r="C24" s="2"/>
      <c r="D24" s="2"/>
      <c r="E24" s="2"/>
      <c r="F24" s="2"/>
      <c r="G24" s="2"/>
      <c r="H24" s="2"/>
    </row>
    <row r="25" spans="2:8" ht="15">
      <c r="B25" s="20" t="s">
        <v>40</v>
      </c>
      <c r="C25" s="91">
        <v>24000</v>
      </c>
      <c r="D25" s="97">
        <f>C25/'Résultats prévisionnels'!$E$5</f>
        <v>0.033738191632928474</v>
      </c>
      <c r="E25" s="93">
        <v>23500</v>
      </c>
      <c r="F25" s="97">
        <f>E25/'Résultats prévisionnels'!$G$5</f>
        <v>0.03049413474514689</v>
      </c>
      <c r="G25" s="93">
        <v>23500</v>
      </c>
      <c r="H25" s="97">
        <f>G25/'Résultats prévisionnels'!$I$5</f>
        <v>0.028969428007889545</v>
      </c>
    </row>
    <row r="26" spans="2:8" ht="15">
      <c r="B26" s="7" t="s">
        <v>41</v>
      </c>
      <c r="C26" s="92">
        <v>18000</v>
      </c>
      <c r="D26" s="98">
        <f>C26/'Résultats prévisionnels'!$E$5</f>
        <v>0.025303643724696356</v>
      </c>
      <c r="E26" s="94">
        <v>23000</v>
      </c>
      <c r="F26" s="98">
        <f>E26/'Résultats prévisionnels'!$G$5</f>
        <v>0.029845323367590573</v>
      </c>
      <c r="G26" s="94">
        <v>25000</v>
      </c>
      <c r="H26" s="98">
        <f>G26/'Résultats prévisionnels'!$I$5</f>
        <v>0.03081854043392505</v>
      </c>
    </row>
    <row r="27" spans="2:8" ht="15">
      <c r="B27" s="7" t="s">
        <v>42</v>
      </c>
      <c r="C27" s="92">
        <v>7600</v>
      </c>
      <c r="D27" s="98">
        <f>C27/'Résultats prévisionnels'!$E$5</f>
        <v>0.010683760683760684</v>
      </c>
      <c r="E27" s="94">
        <v>8300</v>
      </c>
      <c r="F27" s="98">
        <f>E27/'Résultats prévisionnels'!$G$5</f>
        <v>0.01077026886743486</v>
      </c>
      <c r="G27" s="94">
        <v>9100</v>
      </c>
      <c r="H27" s="98">
        <f>G27/'Résultats prévisionnels'!$I$5</f>
        <v>0.011217948717948718</v>
      </c>
    </row>
    <row r="28" spans="2:8" ht="15">
      <c r="B28" s="7" t="s">
        <v>43</v>
      </c>
      <c r="C28" s="92">
        <v>7600</v>
      </c>
      <c r="D28" s="98">
        <f>C28/'Résultats prévisionnels'!$E$5</f>
        <v>0.010683760683760684</v>
      </c>
      <c r="E28" s="94">
        <v>7600</v>
      </c>
      <c r="F28" s="98">
        <f>E28/'Résultats prévisionnels'!$G$5</f>
        <v>0.009861932938856016</v>
      </c>
      <c r="G28" s="94">
        <v>7600</v>
      </c>
      <c r="H28" s="98">
        <f>G28/'Résultats prévisionnels'!$I$5</f>
        <v>0.009368836291913214</v>
      </c>
    </row>
    <row r="29" spans="2:8" ht="15">
      <c r="B29" s="7" t="s">
        <v>44</v>
      </c>
      <c r="C29" s="92">
        <v>7600</v>
      </c>
      <c r="D29" s="98">
        <f>C29/'Résultats prévisionnels'!$E$5</f>
        <v>0.010683760683760684</v>
      </c>
      <c r="E29" s="94">
        <v>7000</v>
      </c>
      <c r="F29" s="98">
        <f>E29/'Résultats prévisionnels'!$G$5</f>
        <v>0.009083359285788436</v>
      </c>
      <c r="G29" s="94">
        <v>7000</v>
      </c>
      <c r="H29" s="98">
        <f>G29/'Résultats prévisionnels'!$I$5</f>
        <v>0.008629191321499015</v>
      </c>
    </row>
    <row r="30" spans="2:8" ht="15">
      <c r="B30" s="7" t="s">
        <v>45</v>
      </c>
      <c r="C30" s="92">
        <v>5500</v>
      </c>
      <c r="D30" s="98">
        <f>C30/'Résultats prévisionnels'!$E$5</f>
        <v>0.007731668915879442</v>
      </c>
      <c r="E30" s="94">
        <v>6000</v>
      </c>
      <c r="F30" s="98">
        <f>E30/'Résultats prévisionnels'!$G$5</f>
        <v>0.007785736530675802</v>
      </c>
      <c r="G30" s="94">
        <v>6200</v>
      </c>
      <c r="H30" s="98">
        <f>G30/'Résultats prévisionnels'!$I$5</f>
        <v>0.007642998027613412</v>
      </c>
    </row>
    <row r="31" spans="2:8" ht="15">
      <c r="B31" s="7" t="s">
        <v>46</v>
      </c>
      <c r="C31" s="92">
        <v>1800</v>
      </c>
      <c r="D31" s="98">
        <f>C31/'Résultats prévisionnels'!$E$5</f>
        <v>0.0025303643724696357</v>
      </c>
      <c r="E31" s="94">
        <v>2000</v>
      </c>
      <c r="F31" s="98">
        <f>E31/'Résultats prévisionnels'!$G$5</f>
        <v>0.0025952455102252673</v>
      </c>
      <c r="G31" s="94">
        <v>2200</v>
      </c>
      <c r="H31" s="98">
        <f>G31/'Résultats prévisionnels'!$I$5</f>
        <v>0.0027120315581854043</v>
      </c>
    </row>
    <row r="32" spans="2:8" ht="15">
      <c r="B32" s="7" t="s">
        <v>47</v>
      </c>
      <c r="C32" s="92">
        <v>900</v>
      </c>
      <c r="D32" s="98">
        <f>C32/'Résultats prévisionnels'!$E$5</f>
        <v>0.0012651821862348178</v>
      </c>
      <c r="E32" s="94">
        <v>1000</v>
      </c>
      <c r="F32" s="98">
        <f>E32/'Résultats prévisionnels'!$G$5</f>
        <v>0.0012976227551126337</v>
      </c>
      <c r="G32" s="94">
        <v>1200</v>
      </c>
      <c r="H32" s="98">
        <f>G32/'Résultats prévisionnels'!$I$5</f>
        <v>0.0014792899408284023</v>
      </c>
    </row>
    <row r="33" spans="2:8" ht="15">
      <c r="B33" s="7" t="s">
        <v>48</v>
      </c>
      <c r="C33" s="92">
        <v>3800</v>
      </c>
      <c r="D33" s="98">
        <f>C33/'Résultats prévisionnels'!$E$5</f>
        <v>0.005341880341880342</v>
      </c>
      <c r="E33" s="94">
        <v>4000</v>
      </c>
      <c r="F33" s="98">
        <f>E33/'Résultats prévisionnels'!$G$5</f>
        <v>0.005190491020450535</v>
      </c>
      <c r="G33" s="94">
        <v>4200</v>
      </c>
      <c r="H33" s="98">
        <f>G33/'Résultats prévisionnels'!$I$5</f>
        <v>0.005177514792899409</v>
      </c>
    </row>
    <row r="34" spans="2:8" ht="15">
      <c r="B34" s="7" t="s">
        <v>49</v>
      </c>
      <c r="C34" s="92">
        <v>2200</v>
      </c>
      <c r="D34" s="98">
        <f>C34/'Résultats prévisionnels'!$E$5</f>
        <v>0.003092667566351777</v>
      </c>
      <c r="E34" s="94">
        <v>2300</v>
      </c>
      <c r="F34" s="98">
        <f>E34/'Résultats prévisionnels'!$G$5</f>
        <v>0.0029845323367590575</v>
      </c>
      <c r="G34" s="94">
        <v>2400</v>
      </c>
      <c r="H34" s="98">
        <f>G34/'Résultats prévisionnels'!$I$5</f>
        <v>0.0029585798816568047</v>
      </c>
    </row>
    <row r="35" spans="2:8" ht="15">
      <c r="B35" s="7" t="s">
        <v>50</v>
      </c>
      <c r="C35" s="92">
        <f>ROUND('Résultats prévisionnels'!E5*1.196*0.5%,0)</f>
        <v>4254</v>
      </c>
      <c r="D35" s="98">
        <f>C35/'Résultats prévisionnels'!$E$5</f>
        <v>0.005980094466936572</v>
      </c>
      <c r="E35" s="92">
        <f>ROUND('Résultats prévisionnels'!G5*0.5%,0)</f>
        <v>3853</v>
      </c>
      <c r="F35" s="98">
        <f>E35/'Résultats prévisionnels'!$G$5</f>
        <v>0.004999740475448978</v>
      </c>
      <c r="G35" s="92">
        <f>ROUND('Résultats prévisionnels'!I5*0.5%,0)</f>
        <v>4056</v>
      </c>
      <c r="H35" s="98">
        <f>G35/'Résultats prévisionnels'!$I$5</f>
        <v>0.005</v>
      </c>
    </row>
    <row r="36" spans="2:8" ht="15">
      <c r="B36" s="7" t="s">
        <v>51</v>
      </c>
      <c r="C36" s="92">
        <v>2300</v>
      </c>
      <c r="D36" s="98">
        <f>C36/'Résultats prévisionnels'!$E$5</f>
        <v>0.0032332433648223123</v>
      </c>
      <c r="E36" s="94">
        <v>2500</v>
      </c>
      <c r="F36" s="98">
        <f>E36/'Résultats prévisionnels'!$G$5</f>
        <v>0.0032440568877815843</v>
      </c>
      <c r="G36" s="94">
        <v>2800</v>
      </c>
      <c r="H36" s="98">
        <f>G36/'Résultats prévisionnels'!$I$5</f>
        <v>0.0034516765285996054</v>
      </c>
    </row>
    <row r="37" spans="2:8" ht="15">
      <c r="B37" s="7" t="s">
        <v>52</v>
      </c>
      <c r="C37" s="92">
        <v>4500</v>
      </c>
      <c r="D37" s="98">
        <f>C37/'Résultats prévisionnels'!$E$5</f>
        <v>0.006325910931174089</v>
      </c>
      <c r="E37" s="94">
        <v>4500</v>
      </c>
      <c r="F37" s="98">
        <f>E37/'Résultats prévisionnels'!$G$5</f>
        <v>0.005839302398006852</v>
      </c>
      <c r="G37" s="94">
        <v>4500</v>
      </c>
      <c r="H37" s="98">
        <f>G37/'Résultats prévisionnels'!$I$5</f>
        <v>0.005547337278106509</v>
      </c>
    </row>
    <row r="38" spans="2:8" ht="15">
      <c r="B38" s="7" t="s">
        <v>53</v>
      </c>
      <c r="C38" s="92">
        <v>800</v>
      </c>
      <c r="D38" s="98">
        <f>C38/'Résultats prévisionnels'!$E$5</f>
        <v>0.0011246063877642825</v>
      </c>
      <c r="E38" s="94">
        <v>800</v>
      </c>
      <c r="F38" s="98">
        <f>E38/'Résultats prévisionnels'!$G$5</f>
        <v>0.001038098204090107</v>
      </c>
      <c r="G38" s="94">
        <v>800</v>
      </c>
      <c r="H38" s="98">
        <f>G38/'Résultats prévisionnels'!$I$5</f>
        <v>0.0009861932938856016</v>
      </c>
    </row>
    <row r="39" spans="2:8" ht="15">
      <c r="B39" s="7" t="s">
        <v>54</v>
      </c>
      <c r="C39" s="92">
        <v>12000</v>
      </c>
      <c r="D39" s="98">
        <f>C39/'Résultats prévisionnels'!$E$5</f>
        <v>0.016869095816464237</v>
      </c>
      <c r="E39" s="94">
        <v>12000</v>
      </c>
      <c r="F39" s="98">
        <f>E39/'Résultats prévisionnels'!$G$5</f>
        <v>0.015571473061351603</v>
      </c>
      <c r="G39" s="94">
        <v>12000</v>
      </c>
      <c r="H39" s="98">
        <f>G39/'Résultats prévisionnels'!$I$5</f>
        <v>0.014792899408284023</v>
      </c>
    </row>
    <row r="40" spans="2:8" ht="15">
      <c r="B40" s="7" t="s">
        <v>55</v>
      </c>
      <c r="C40" s="92">
        <v>5000</v>
      </c>
      <c r="D40" s="98">
        <f>C40/'Résultats prévisionnels'!$E$5</f>
        <v>0.007028789923526766</v>
      </c>
      <c r="E40" s="94">
        <v>5000</v>
      </c>
      <c r="F40" s="98">
        <f>E40/'Résultats prévisionnels'!$G$5</f>
        <v>0.006488113775563169</v>
      </c>
      <c r="G40" s="94">
        <v>5000</v>
      </c>
      <c r="H40" s="98">
        <f>G40/'Résultats prévisionnels'!$I$5</f>
        <v>0.00616370808678501</v>
      </c>
    </row>
    <row r="41" spans="2:8" ht="15.75">
      <c r="B41" s="13" t="s">
        <v>98</v>
      </c>
      <c r="C41" s="22">
        <f>SUM(C25:C40)</f>
        <v>107854</v>
      </c>
      <c r="D41" s="36">
        <f>C41/'Résultats prévisionnels'!$E$5</f>
        <v>0.15161662168241116</v>
      </c>
      <c r="E41" s="23">
        <f>SUM(E25:E40)</f>
        <v>113353</v>
      </c>
      <c r="F41" s="36">
        <f>E41/'Résultats prévisionnels'!$G$5</f>
        <v>0.14708943216028236</v>
      </c>
      <c r="G41" s="23">
        <f>SUM(G25:G40)</f>
        <v>117556</v>
      </c>
      <c r="H41" s="36">
        <f>G41/'Résultats prévisionnels'!$I$5</f>
        <v>0.14491617357001974</v>
      </c>
    </row>
    <row r="43" spans="2:8" ht="15.75">
      <c r="B43" s="126" t="s">
        <v>39</v>
      </c>
      <c r="C43" s="2"/>
      <c r="D43" s="2"/>
      <c r="E43" s="2"/>
      <c r="F43" s="2"/>
      <c r="G43" s="2"/>
      <c r="H43" s="2"/>
    </row>
    <row r="44" spans="2:8" ht="15.75">
      <c r="B44" s="126"/>
      <c r="C44" s="2"/>
      <c r="D44" s="2"/>
      <c r="E44" s="2"/>
      <c r="F44" s="2"/>
      <c r="G44" s="2"/>
      <c r="H44" s="2"/>
    </row>
    <row r="45" spans="2:8" ht="15">
      <c r="B45" s="15" t="s">
        <v>39</v>
      </c>
      <c r="C45" s="15">
        <v>14000</v>
      </c>
      <c r="D45" s="36">
        <f>C45/'Résultats prévisionnels'!$E$5</f>
        <v>0.019680611785874942</v>
      </c>
      <c r="E45" s="15">
        <v>17000</v>
      </c>
      <c r="F45" s="36">
        <f>E45/'Résultats prévisionnels'!$G$5</f>
        <v>0.022059586836914773</v>
      </c>
      <c r="G45" s="15">
        <v>18000</v>
      </c>
      <c r="H45" s="36">
        <f>G45/'Résultats prévisionnels'!$I$5</f>
        <v>0.022189349112426034</v>
      </c>
    </row>
  </sheetData>
  <printOptions/>
  <pageMargins left="0.75" right="0.75" top="1" bottom="1" header="0.4921259845" footer="0.4921259845"/>
  <pageSetup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H39"/>
  <sheetViews>
    <sheetView workbookViewId="0" topLeftCell="A1">
      <selection activeCell="A1" sqref="A1"/>
    </sheetView>
  </sheetViews>
  <sheetFormatPr defaultColWidth="11.421875" defaultRowHeight="12.75"/>
  <cols>
    <col min="1" max="1" width="3.421875" style="0" customWidth="1"/>
    <col min="2" max="2" width="48.57421875" style="0" customWidth="1"/>
    <col min="4" max="4" width="11.00390625" style="0" customWidth="1"/>
    <col min="5" max="5" width="10.57421875" style="0" customWidth="1"/>
    <col min="6" max="6" width="4.140625" style="0" customWidth="1"/>
    <col min="7" max="7" width="22.140625" style="0" customWidth="1"/>
  </cols>
  <sheetData>
    <row r="2" spans="2:5" ht="18">
      <c r="B2" s="124" t="s">
        <v>56</v>
      </c>
      <c r="C2" s="46"/>
      <c r="D2" s="46"/>
      <c r="E2" s="46"/>
    </row>
    <row r="4" spans="2:5" ht="15.75">
      <c r="B4" s="13" t="s">
        <v>57</v>
      </c>
      <c r="C4" s="42" t="s">
        <v>58</v>
      </c>
      <c r="D4" s="43" t="s">
        <v>59</v>
      </c>
      <c r="E4" s="42" t="s">
        <v>60</v>
      </c>
    </row>
    <row r="5" spans="2:5" ht="15">
      <c r="B5" s="44" t="s">
        <v>3</v>
      </c>
      <c r="C5" s="63">
        <f>'Montage financier'!C30</f>
        <v>780000</v>
      </c>
      <c r="D5" s="62"/>
      <c r="E5" s="63"/>
    </row>
    <row r="6" spans="2:5" ht="15">
      <c r="B6" s="11" t="s">
        <v>61</v>
      </c>
      <c r="C6" s="63">
        <f>'Résultats prévisionnels'!E25</f>
        <v>48845.35740419438</v>
      </c>
      <c r="D6" s="62">
        <f>'Résultats prévisionnels'!G25</f>
        <v>51776.07884844604</v>
      </c>
      <c r="E6" s="63">
        <f>'Résultats prévisionnels'!I25</f>
        <v>54882.64357935281</v>
      </c>
    </row>
    <row r="7" spans="2:5" ht="15">
      <c r="B7" s="11" t="s">
        <v>62</v>
      </c>
      <c r="C7" s="131"/>
      <c r="D7" s="135"/>
      <c r="E7" s="131"/>
    </row>
    <row r="8" spans="2:5" ht="15">
      <c r="B8" s="11" t="s">
        <v>63</v>
      </c>
      <c r="C8" s="131"/>
      <c r="D8" s="135"/>
      <c r="E8" s="131"/>
    </row>
    <row r="9" spans="2:5" ht="15">
      <c r="B9" s="11" t="s">
        <v>64</v>
      </c>
      <c r="C9" s="63">
        <f>IF(C38&gt;0,C38,0)</f>
        <v>13797.114246575344</v>
      </c>
      <c r="D9" s="63">
        <f>IF(D39&gt;0,D39,0)</f>
        <v>1572.033493150684</v>
      </c>
      <c r="E9" s="63">
        <f>IF(E39&gt;0,E39,0)</f>
        <v>928.8701363013661</v>
      </c>
    </row>
    <row r="10" spans="2:5" ht="15">
      <c r="B10" s="12" t="s">
        <v>65</v>
      </c>
      <c r="C10" s="131"/>
      <c r="D10" s="135"/>
      <c r="E10" s="131"/>
    </row>
    <row r="11" spans="2:5" ht="15">
      <c r="B11" s="45" t="s">
        <v>66</v>
      </c>
      <c r="C11" s="132">
        <f>SUM(C5:C10)</f>
        <v>842642.4716507698</v>
      </c>
      <c r="D11" s="132">
        <f>SUM(D5:D10)</f>
        <v>53348.11234159673</v>
      </c>
      <c r="E11" s="132">
        <f>SUM(E5:E10)</f>
        <v>55811.513715654175</v>
      </c>
    </row>
    <row r="12" spans="2:5" ht="15.75">
      <c r="B12" s="5" t="s">
        <v>67</v>
      </c>
      <c r="C12" s="63"/>
      <c r="D12" s="62"/>
      <c r="E12" s="63"/>
    </row>
    <row r="13" spans="2:5" ht="15">
      <c r="B13" s="7" t="s">
        <v>126</v>
      </c>
      <c r="C13" s="63">
        <f>'Résultats prévisionnels'!E24</f>
        <v>83512.79999999999</v>
      </c>
      <c r="D13" s="62">
        <f>'Résultats prévisionnels'!G24</f>
        <v>118888.58144425164</v>
      </c>
      <c r="E13" s="63">
        <f>'Résultats prévisionnels'!I24</f>
        <v>136459.3731622469</v>
      </c>
    </row>
    <row r="14" spans="2:5" ht="15">
      <c r="B14" s="7" t="s">
        <v>18</v>
      </c>
      <c r="C14" s="63">
        <f>'Montage financier'!F29</f>
        <v>410000</v>
      </c>
      <c r="D14" s="62"/>
      <c r="E14" s="63"/>
    </row>
    <row r="15" spans="2:5" ht="15">
      <c r="B15" s="7" t="s">
        <v>68</v>
      </c>
      <c r="C15" s="63">
        <f>'Montage financier'!F22+'Montage financier'!F23</f>
        <v>400000</v>
      </c>
      <c r="D15" s="62"/>
      <c r="E15" s="63"/>
    </row>
    <row r="16" spans="2:5" ht="15">
      <c r="B16" s="7" t="s">
        <v>69</v>
      </c>
      <c r="C16" s="63">
        <f>IF(C38&gt;0,0,-C38)</f>
        <v>0</v>
      </c>
      <c r="D16" s="63">
        <f>IF(D39&gt;0,0,-D39)</f>
        <v>0</v>
      </c>
      <c r="E16" s="63">
        <f>IF(E39&gt;0,0,-E39)</f>
        <v>0</v>
      </c>
    </row>
    <row r="17" spans="2:5" ht="15">
      <c r="B17" s="7" t="s">
        <v>70</v>
      </c>
      <c r="C17" s="63"/>
      <c r="D17" s="62"/>
      <c r="E17" s="63"/>
    </row>
    <row r="18" spans="2:5" ht="15">
      <c r="B18" s="45" t="s">
        <v>71</v>
      </c>
      <c r="C18" s="132">
        <f>SUM(C12:C17)</f>
        <v>893512.8</v>
      </c>
      <c r="D18" s="132">
        <f>SUM(D12:D17)</f>
        <v>118888.58144425164</v>
      </c>
      <c r="E18" s="132">
        <f>SUM(E12:E17)</f>
        <v>136459.3731622469</v>
      </c>
    </row>
    <row r="19" spans="2:5" ht="15">
      <c r="B19" s="22" t="s">
        <v>72</v>
      </c>
      <c r="C19" s="136"/>
      <c r="D19" s="137">
        <f>C21</f>
        <v>50870.32834923023</v>
      </c>
      <c r="E19" s="132">
        <f>D21</f>
        <v>116410.79745188514</v>
      </c>
    </row>
    <row r="20" spans="2:5" ht="15">
      <c r="B20" s="7" t="s">
        <v>73</v>
      </c>
      <c r="C20" s="63">
        <f>C18-C11</f>
        <v>50870.32834923023</v>
      </c>
      <c r="D20" s="63">
        <f>D18-D11</f>
        <v>65540.46910265491</v>
      </c>
      <c r="E20" s="63">
        <f>E18-E11</f>
        <v>80647.85944659272</v>
      </c>
    </row>
    <row r="21" spans="2:5" ht="15">
      <c r="B21" s="22" t="s">
        <v>74</v>
      </c>
      <c r="C21" s="132">
        <f>C19+C20</f>
        <v>50870.32834923023</v>
      </c>
      <c r="D21" s="132">
        <f>D19+D20</f>
        <v>116410.79745188514</v>
      </c>
      <c r="E21" s="132">
        <f>E19+E20</f>
        <v>197058.65689847787</v>
      </c>
    </row>
    <row r="22" spans="3:8" ht="15">
      <c r="C22" s="2"/>
      <c r="D22" s="2"/>
      <c r="E22" s="2"/>
      <c r="G22" s="105"/>
      <c r="H22" s="107"/>
    </row>
    <row r="23" spans="2:8" ht="15.75">
      <c r="B23" s="123" t="s">
        <v>77</v>
      </c>
      <c r="C23" s="46"/>
      <c r="D23" s="46"/>
      <c r="E23" s="46"/>
      <c r="G23" s="105"/>
      <c r="H23" s="107"/>
    </row>
    <row r="24" spans="7:8" ht="12.75">
      <c r="G24" s="105"/>
      <c r="H24" s="107"/>
    </row>
    <row r="25" spans="2:8" ht="15">
      <c r="B25" s="157" t="s">
        <v>127</v>
      </c>
      <c r="C25" s="157">
        <v>15</v>
      </c>
      <c r="D25" s="157">
        <v>15</v>
      </c>
      <c r="E25" s="157">
        <v>15</v>
      </c>
      <c r="G25" s="105"/>
      <c r="H25" s="107"/>
    </row>
    <row r="26" spans="2:5" ht="15">
      <c r="B26" s="157" t="s">
        <v>128</v>
      </c>
      <c r="C26" s="157">
        <v>10</v>
      </c>
      <c r="D26" s="157">
        <v>10</v>
      </c>
      <c r="E26" s="157">
        <v>10</v>
      </c>
    </row>
    <row r="27" spans="2:5" ht="15">
      <c r="B27" s="157" t="s">
        <v>129</v>
      </c>
      <c r="C27" s="157">
        <v>20</v>
      </c>
      <c r="D27" s="157">
        <v>20</v>
      </c>
      <c r="E27" s="157">
        <v>20</v>
      </c>
    </row>
    <row r="28" spans="2:5" ht="15">
      <c r="B28" s="157" t="s">
        <v>130</v>
      </c>
      <c r="C28" s="167">
        <v>0.196</v>
      </c>
      <c r="D28" s="167">
        <v>0.196</v>
      </c>
      <c r="E28" s="167">
        <v>0.196</v>
      </c>
    </row>
    <row r="29" spans="2:5" ht="15">
      <c r="B29" s="157" t="s">
        <v>131</v>
      </c>
      <c r="C29" s="168">
        <v>0.1</v>
      </c>
      <c r="D29" s="168">
        <v>0.1</v>
      </c>
      <c r="E29" s="168">
        <v>0.1</v>
      </c>
    </row>
    <row r="30" spans="2:5" ht="15">
      <c r="B30" s="152"/>
      <c r="C30" s="152"/>
      <c r="D30" s="152"/>
      <c r="E30" s="152"/>
    </row>
    <row r="31" spans="2:5" ht="15">
      <c r="B31" s="152"/>
      <c r="C31" s="152"/>
      <c r="D31" s="152"/>
      <c r="E31" s="152"/>
    </row>
    <row r="34" spans="2:5" ht="15">
      <c r="B34" s="15" t="s">
        <v>78</v>
      </c>
      <c r="C34" s="95">
        <f>'Résultats prévisionnels'!E9*'Plan de financement'!C25/365</f>
        <v>9354.871232876712</v>
      </c>
      <c r="D34" s="95">
        <f>'Résultats prévisionnels'!G9*'Plan de financement'!D25/365</f>
        <v>9817.742465753425</v>
      </c>
      <c r="E34" s="95">
        <f>'Résultats prévisionnels'!I9*'Plan de financement'!E25/365</f>
        <v>10334.465753424658</v>
      </c>
    </row>
    <row r="35" spans="2:5" ht="15">
      <c r="B35" s="15" t="s">
        <v>79</v>
      </c>
      <c r="C35" s="95">
        <f>('Résultats prévisionnels'!E5*(1+C28)*C26/365)</f>
        <v>23309.220821917806</v>
      </c>
      <c r="D35" s="95">
        <f>('Résultats prévisionnels'!G5*(1+D28)*D26/365)</f>
        <v>25251.655890410955</v>
      </c>
      <c r="E35" s="95">
        <f>('Résultats prévisionnels'!I5*(1+E28))*E26/365</f>
        <v>26580.690410958905</v>
      </c>
    </row>
    <row r="36" spans="2:5" ht="15">
      <c r="B36" s="15" t="s">
        <v>80</v>
      </c>
      <c r="C36" s="95">
        <f>('Résultats prévisionnels'!E9*(1+C29))*C27/365</f>
        <v>13720.477808219179</v>
      </c>
      <c r="D36" s="95">
        <f>('Résultats prévisionnels'!G9*(1+D29))*D27/365</f>
        <v>14399.355616438355</v>
      </c>
      <c r="E36" s="95">
        <f>('Résultats prévisionnels'!I9*(1+E29))*E27/365</f>
        <v>15157.216438356165</v>
      </c>
    </row>
    <row r="37" spans="2:5" ht="15">
      <c r="B37" s="15" t="s">
        <v>81</v>
      </c>
      <c r="C37" s="95">
        <f>'Détail des prévisions'!F16/12</f>
        <v>5146.5</v>
      </c>
      <c r="D37" s="95">
        <f>C37*1.03</f>
        <v>5300.895</v>
      </c>
      <c r="E37" s="95">
        <f>D37*1.03</f>
        <v>5459.921850000001</v>
      </c>
    </row>
    <row r="38" spans="2:5" ht="15">
      <c r="B38" s="47" t="s">
        <v>77</v>
      </c>
      <c r="C38" s="78">
        <f>C34+C35-C36-C37</f>
        <v>13797.114246575344</v>
      </c>
      <c r="D38" s="78">
        <f>D34+D35-D36-D37</f>
        <v>15369.147739726028</v>
      </c>
      <c r="E38" s="78">
        <f>E34+E35-E36-E37</f>
        <v>16298.017876027394</v>
      </c>
    </row>
    <row r="39" spans="2:5" ht="15">
      <c r="B39" s="47" t="s">
        <v>82</v>
      </c>
      <c r="C39" s="79"/>
      <c r="D39" s="78">
        <f>D38-C38</f>
        <v>1572.033493150684</v>
      </c>
      <c r="E39" s="78">
        <f>E38-D38</f>
        <v>928.8701363013661</v>
      </c>
    </row>
  </sheetData>
  <printOptions horizontalCentered="1" verticalCentered="1"/>
  <pageMargins left="0.7874015748031497" right="0.7874015748031497" top="0.984251968503937" bottom="0.984251968503937" header="0.5118110236220472" footer="0.5118110236220472"/>
  <pageSetup fitToHeight="1" fitToWidth="1" orientation="portrait" paperSize="9" scale="45" r:id="rId2"/>
  <headerFooter alignWithMargins="0">
    <oddHeader>&amp;C&amp;F</oddHeader>
    <oddFooter>&amp;L&amp;A&amp;REcole de Savignac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dc:creator>
  <cp:keywords/>
  <dc:description/>
  <cp:lastModifiedBy>Jean-Claude Oulé</cp:lastModifiedBy>
  <cp:lastPrinted>2003-09-25T17:51:45Z</cp:lastPrinted>
  <dcterms:created xsi:type="dcterms:W3CDTF">1999-09-02T12:46:53Z</dcterms:created>
  <dcterms:modified xsi:type="dcterms:W3CDTF">2004-10-12T02:55:13Z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